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Q:\PUBLIC\Adam Welham\"/>
    </mc:Choice>
  </mc:AlternateContent>
  <bookViews>
    <workbookView xWindow="0" yWindow="0" windowWidth="24000" windowHeight="9660" tabRatio="846" xr2:uid="{5FF8BE24-D001-454C-A76E-2AE0495FD16B}"/>
  </bookViews>
  <sheets>
    <sheet name="Executive Summary" sheetId="21" r:id="rId1"/>
    <sheet name="I1 Bought-In Solvent" sheetId="20" r:id="rId2"/>
    <sheet name="O1.1&amp;1.3 Powered Vents &amp; GE" sheetId="15" r:id="rId3"/>
    <sheet name="O1.2 Conservation Vents" sheetId="18" r:id="rId4"/>
    <sheet name="O1.4 Breathing Losses" sheetId="2" r:id="rId5"/>
    <sheet name="O6.1&amp;6.2 Slvnt-Containing Waste" sheetId="19" r:id="rId6"/>
    <sheet name="Tanks 1-5 Calculations" sheetId="8" r:id="rId7"/>
    <sheet name="Tanks 6-7 Calculations" sheetId="9" r:id="rId8"/>
    <sheet name="Tanks ST1-ST2 Calculations" sheetId="10" r:id="rId9"/>
    <sheet name="ST3 Calculations" sheetId="11" r:id="rId10"/>
    <sheet name="ST4 Calculations" sheetId="12" r:id="rId11"/>
    <sheet name="ST5 Calculations" sheetId="13" r:id="rId12"/>
    <sheet name="MP5 Calculations" sheetId="14" r:id="rId13"/>
    <sheet name="TEMPLATE - O1.4 Breathing losse" sheetId="7" r:id="rId14"/>
    <sheet name="A5.1 Solvent Data" sheetId="4" r:id="rId15"/>
    <sheet name="A5.2" sheetId="5" r:id="rId1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 i="2" l="1"/>
  <c r="C7" i="20"/>
  <c r="C9" i="20"/>
  <c r="I7" i="20"/>
  <c r="D25" i="21"/>
  <c r="D21" i="21"/>
  <c r="D15" i="21"/>
  <c r="D13" i="21"/>
  <c r="M1" i="18"/>
  <c r="D12" i="21"/>
  <c r="C10" i="21"/>
  <c r="E15" i="21" s="1"/>
  <c r="E12" i="21" l="1"/>
  <c r="E13" i="21"/>
  <c r="E25" i="21" s="1"/>
  <c r="E21" i="21"/>
  <c r="C12" i="20"/>
  <c r="M1" i="20" s="1"/>
  <c r="N1" i="19"/>
  <c r="D22" i="19"/>
  <c r="F19" i="19"/>
  <c r="C19" i="19"/>
  <c r="C16" i="19"/>
  <c r="R9" i="18" l="1"/>
  <c r="L1" i="15"/>
  <c r="J9" i="18"/>
  <c r="U7" i="18"/>
  <c r="M7" i="18"/>
  <c r="E7" i="18"/>
  <c r="B9" i="18"/>
  <c r="B4" i="18"/>
  <c r="F4" i="18" s="1"/>
  <c r="G9" i="18" s="1"/>
  <c r="D11" i="18" s="1"/>
  <c r="O9" i="18" l="1"/>
  <c r="W9" i="18"/>
  <c r="L11" i="18"/>
  <c r="T11" i="18"/>
  <c r="D21" i="15" l="1"/>
  <c r="B18" i="15" l="1"/>
  <c r="F15" i="15"/>
  <c r="B15" i="15"/>
  <c r="F13" i="15"/>
  <c r="F11" i="15"/>
  <c r="B11" i="15"/>
  <c r="F10" i="15"/>
  <c r="B10" i="15"/>
  <c r="H6" i="15"/>
  <c r="E6" i="15"/>
  <c r="B6" i="15"/>
  <c r="F4" i="15"/>
  <c r="F5" i="15"/>
  <c r="B5" i="15"/>
  <c r="B4" i="15"/>
  <c r="F3" i="15"/>
  <c r="B3" i="15"/>
  <c r="J49" i="2" l="1"/>
  <c r="N50" i="14" l="1"/>
  <c r="N41" i="14"/>
  <c r="M41" i="14"/>
  <c r="L41" i="14"/>
  <c r="M37" i="14"/>
  <c r="L37" i="14"/>
  <c r="J36" i="14" s="1"/>
  <c r="I37" i="14" s="1"/>
  <c r="I36" i="14"/>
  <c r="K30" i="14"/>
  <c r="I30" i="14"/>
  <c r="N29" i="14"/>
  <c r="J30" i="14" s="1"/>
  <c r="I31" i="14" s="1"/>
  <c r="J26" i="14" s="1"/>
  <c r="I27" i="14" s="1"/>
  <c r="K26" i="14"/>
  <c r="I26" i="14"/>
  <c r="I16" i="14"/>
  <c r="L13" i="14"/>
  <c r="I13" i="14" s="1"/>
  <c r="K12" i="14"/>
  <c r="J12" i="14"/>
  <c r="I12" i="14"/>
  <c r="H5" i="14"/>
  <c r="B5" i="14"/>
  <c r="N50" i="13"/>
  <c r="N41" i="13"/>
  <c r="M41" i="13"/>
  <c r="L41" i="13"/>
  <c r="M37" i="13"/>
  <c r="L37" i="13"/>
  <c r="I36" i="13"/>
  <c r="K30" i="13"/>
  <c r="J30" i="13"/>
  <c r="I30" i="13"/>
  <c r="I31" i="13" s="1"/>
  <c r="J26" i="13" s="1"/>
  <c r="N29" i="13"/>
  <c r="K26" i="13"/>
  <c r="I26" i="13"/>
  <c r="I16" i="13"/>
  <c r="L13" i="13"/>
  <c r="I12" i="13" s="1"/>
  <c r="I13" i="13"/>
  <c r="J8" i="13" s="1"/>
  <c r="K12" i="13"/>
  <c r="J12" i="13"/>
  <c r="H5" i="13"/>
  <c r="G5" i="13"/>
  <c r="B5" i="13"/>
  <c r="N50" i="12"/>
  <c r="N41" i="12"/>
  <c r="M41" i="12"/>
  <c r="L41" i="12"/>
  <c r="M37" i="12"/>
  <c r="L37" i="12"/>
  <c r="I36" i="12"/>
  <c r="K30" i="12"/>
  <c r="I30" i="12"/>
  <c r="N29" i="12"/>
  <c r="J30" i="12" s="1"/>
  <c r="K26" i="12"/>
  <c r="I26" i="12"/>
  <c r="I16" i="12"/>
  <c r="L13" i="12"/>
  <c r="I13" i="12" s="1"/>
  <c r="K12" i="12"/>
  <c r="J12" i="12"/>
  <c r="H5" i="12"/>
  <c r="B5" i="12"/>
  <c r="N50" i="11"/>
  <c r="N41" i="11"/>
  <c r="M41" i="11"/>
  <c r="L41" i="11"/>
  <c r="M37" i="11"/>
  <c r="J36" i="11" s="1"/>
  <c r="L37" i="11"/>
  <c r="I36" i="11"/>
  <c r="K30" i="11"/>
  <c r="I30" i="11"/>
  <c r="N29" i="11"/>
  <c r="J30" i="11" s="1"/>
  <c r="K26" i="11"/>
  <c r="I26" i="11"/>
  <c r="I16" i="11"/>
  <c r="L13" i="11"/>
  <c r="I13" i="11" s="1"/>
  <c r="K12" i="11"/>
  <c r="J12" i="11"/>
  <c r="H5" i="11"/>
  <c r="B5" i="11"/>
  <c r="N50" i="10"/>
  <c r="N41" i="10"/>
  <c r="M41" i="10"/>
  <c r="L41" i="10"/>
  <c r="M37" i="10"/>
  <c r="J36" i="10" s="1"/>
  <c r="L37" i="10"/>
  <c r="I36" i="10"/>
  <c r="K30" i="10"/>
  <c r="I30" i="10"/>
  <c r="N29" i="10"/>
  <c r="J30" i="10" s="1"/>
  <c r="K26" i="10"/>
  <c r="I26" i="10"/>
  <c r="I16" i="10"/>
  <c r="L13" i="10"/>
  <c r="I13" i="10" s="1"/>
  <c r="K12" i="10"/>
  <c r="J12" i="10"/>
  <c r="H5" i="10"/>
  <c r="B5" i="10"/>
  <c r="N50" i="9"/>
  <c r="N41" i="9"/>
  <c r="M41" i="9"/>
  <c r="L41" i="9"/>
  <c r="M37" i="9"/>
  <c r="L37" i="9"/>
  <c r="J36" i="9" s="1"/>
  <c r="I37" i="9" s="1"/>
  <c r="I36" i="9"/>
  <c r="K30" i="9"/>
  <c r="J30" i="9"/>
  <c r="I30" i="9"/>
  <c r="I31" i="9" s="1"/>
  <c r="J26" i="9" s="1"/>
  <c r="I27" i="9" s="1"/>
  <c r="N29" i="9"/>
  <c r="K26" i="9"/>
  <c r="I26" i="9"/>
  <c r="I16" i="9"/>
  <c r="L13" i="9"/>
  <c r="I13" i="9" s="1"/>
  <c r="K12" i="9"/>
  <c r="J12" i="9"/>
  <c r="H5" i="9"/>
  <c r="B5" i="9"/>
  <c r="N50" i="8"/>
  <c r="N41" i="8"/>
  <c r="M41" i="8"/>
  <c r="L41" i="8"/>
  <c r="M37" i="8"/>
  <c r="J36" i="8" s="1"/>
  <c r="L37" i="8"/>
  <c r="I36" i="8"/>
  <c r="I37" i="8" s="1"/>
  <c r="K30" i="8"/>
  <c r="J30" i="8"/>
  <c r="I30" i="8"/>
  <c r="I31" i="8" s="1"/>
  <c r="J26" i="8" s="1"/>
  <c r="N29" i="8"/>
  <c r="K26" i="8"/>
  <c r="I26" i="8"/>
  <c r="I16" i="8"/>
  <c r="L13" i="8"/>
  <c r="I12" i="8" s="1"/>
  <c r="I13" i="8"/>
  <c r="J8" i="8" s="1"/>
  <c r="K12" i="8"/>
  <c r="J12" i="8"/>
  <c r="H5" i="8"/>
  <c r="G5" i="8"/>
  <c r="B5" i="8"/>
  <c r="B5" i="7"/>
  <c r="H5" i="7"/>
  <c r="J12" i="7"/>
  <c r="K12" i="7"/>
  <c r="I13" i="7"/>
  <c r="G5" i="7" s="1"/>
  <c r="L13" i="7"/>
  <c r="I12" i="7" s="1"/>
  <c r="I16" i="7"/>
  <c r="I26" i="7"/>
  <c r="K26" i="7"/>
  <c r="N29" i="7"/>
  <c r="J30" i="7" s="1"/>
  <c r="I30" i="7"/>
  <c r="K30" i="7"/>
  <c r="I36" i="7"/>
  <c r="L37" i="7"/>
  <c r="M37" i="7"/>
  <c r="L41" i="7"/>
  <c r="M41" i="7"/>
  <c r="N41" i="7"/>
  <c r="N50" i="7"/>
  <c r="J8" i="14" l="1"/>
  <c r="G5" i="14"/>
  <c r="I45" i="14"/>
  <c r="J40" i="14" s="1"/>
  <c r="K5" i="14" s="1"/>
  <c r="I33" i="14"/>
  <c r="J17" i="14"/>
  <c r="I44" i="14"/>
  <c r="I40" i="14" s="1"/>
  <c r="I22" i="14"/>
  <c r="J36" i="13"/>
  <c r="I37" i="13" s="1"/>
  <c r="I27" i="13"/>
  <c r="J36" i="12"/>
  <c r="I37" i="12" s="1"/>
  <c r="I31" i="12"/>
  <c r="J26" i="12" s="1"/>
  <c r="I27" i="12" s="1"/>
  <c r="J17" i="12" s="1"/>
  <c r="J8" i="12"/>
  <c r="G5" i="12"/>
  <c r="I12" i="12"/>
  <c r="I37" i="11"/>
  <c r="I31" i="11"/>
  <c r="J26" i="11" s="1"/>
  <c r="I27" i="11" s="1"/>
  <c r="J8" i="11"/>
  <c r="G5" i="11"/>
  <c r="I12" i="11"/>
  <c r="I37" i="10"/>
  <c r="I31" i="10"/>
  <c r="J26" i="10" s="1"/>
  <c r="I27" i="10" s="1"/>
  <c r="J8" i="10"/>
  <c r="G5" i="10"/>
  <c r="I12" i="10"/>
  <c r="I31" i="7"/>
  <c r="J26" i="7" s="1"/>
  <c r="I27" i="7" s="1"/>
  <c r="I22" i="7" s="1"/>
  <c r="J8" i="9"/>
  <c r="G5" i="9"/>
  <c r="I45" i="9"/>
  <c r="J40" i="9" s="1"/>
  <c r="K5" i="9" s="1"/>
  <c r="I33" i="9"/>
  <c r="J17" i="9"/>
  <c r="I44" i="9"/>
  <c r="I40" i="9" s="1"/>
  <c r="I22" i="9"/>
  <c r="I12" i="9"/>
  <c r="J36" i="7"/>
  <c r="I37" i="7" s="1"/>
  <c r="I27" i="8"/>
  <c r="I33" i="8"/>
  <c r="J8" i="7"/>
  <c r="M50" i="14" l="1"/>
  <c r="J49" i="14" s="1"/>
  <c r="I50" i="14" s="1"/>
  <c r="I17" i="14"/>
  <c r="I18" i="14" s="1"/>
  <c r="K33" i="14"/>
  <c r="C5" i="14"/>
  <c r="I41" i="14"/>
  <c r="J33" i="14" s="1"/>
  <c r="J5" i="14"/>
  <c r="L5" i="14" s="1"/>
  <c r="I45" i="13"/>
  <c r="J40" i="13" s="1"/>
  <c r="K5" i="13" s="1"/>
  <c r="J17" i="13"/>
  <c r="I44" i="13"/>
  <c r="I40" i="13" s="1"/>
  <c r="I22" i="13"/>
  <c r="I33" i="13"/>
  <c r="I33" i="12"/>
  <c r="I22" i="12"/>
  <c r="M50" i="12" s="1"/>
  <c r="J49" i="12" s="1"/>
  <c r="I50" i="12" s="1"/>
  <c r="I45" i="12"/>
  <c r="J40" i="12" s="1"/>
  <c r="K5" i="12" s="1"/>
  <c r="I44" i="12"/>
  <c r="I40" i="12" s="1"/>
  <c r="I41" i="12" s="1"/>
  <c r="J33" i="12" s="1"/>
  <c r="I45" i="11"/>
  <c r="J40" i="11" s="1"/>
  <c r="K5" i="11" s="1"/>
  <c r="I33" i="11"/>
  <c r="J17" i="11"/>
  <c r="I44" i="11"/>
  <c r="I40" i="11" s="1"/>
  <c r="I22" i="11"/>
  <c r="I45" i="10"/>
  <c r="J40" i="10" s="1"/>
  <c r="K5" i="10" s="1"/>
  <c r="I33" i="10"/>
  <c r="J17" i="10"/>
  <c r="I44" i="10"/>
  <c r="I40" i="10" s="1"/>
  <c r="I22" i="10"/>
  <c r="I41" i="9"/>
  <c r="J33" i="9" s="1"/>
  <c r="J5" i="9"/>
  <c r="L5" i="9" s="1"/>
  <c r="C5" i="9"/>
  <c r="M50" i="9"/>
  <c r="J49" i="9" s="1"/>
  <c r="I50" i="9" s="1"/>
  <c r="I17" i="9"/>
  <c r="I18" i="9" s="1"/>
  <c r="K33" i="9"/>
  <c r="I45" i="7"/>
  <c r="J40" i="7" s="1"/>
  <c r="K5" i="7" s="1"/>
  <c r="I44" i="7"/>
  <c r="I40" i="7" s="1"/>
  <c r="I33" i="7"/>
  <c r="J17" i="7"/>
  <c r="I44" i="8"/>
  <c r="I40" i="8" s="1"/>
  <c r="I45" i="8"/>
  <c r="J40" i="8" s="1"/>
  <c r="K5" i="8" s="1"/>
  <c r="J17" i="8"/>
  <c r="I22" i="8"/>
  <c r="M50" i="7"/>
  <c r="J49" i="7" s="1"/>
  <c r="I50" i="7" s="1"/>
  <c r="C5" i="7"/>
  <c r="K33" i="7"/>
  <c r="I17" i="7"/>
  <c r="I34" i="14" l="1"/>
  <c r="L8" i="14" s="1"/>
  <c r="F5" i="14"/>
  <c r="K8" i="14"/>
  <c r="M8" i="14"/>
  <c r="I5" i="14"/>
  <c r="I41" i="13"/>
  <c r="J33" i="13" s="1"/>
  <c r="J5" i="13"/>
  <c r="L5" i="13" s="1"/>
  <c r="M50" i="13"/>
  <c r="J49" i="13" s="1"/>
  <c r="I50" i="13" s="1"/>
  <c r="I17" i="13"/>
  <c r="I18" i="13" s="1"/>
  <c r="K33" i="13"/>
  <c r="C5" i="13"/>
  <c r="C5" i="12"/>
  <c r="J5" i="12"/>
  <c r="L5" i="12" s="1"/>
  <c r="K33" i="12"/>
  <c r="I34" i="12" s="1"/>
  <c r="I17" i="12"/>
  <c r="I18" i="12" s="1"/>
  <c r="K8" i="12" s="1"/>
  <c r="I5" i="12"/>
  <c r="M8" i="12"/>
  <c r="I41" i="11"/>
  <c r="J33" i="11" s="1"/>
  <c r="J5" i="11"/>
  <c r="L5" i="11" s="1"/>
  <c r="M50" i="11"/>
  <c r="J49" i="11" s="1"/>
  <c r="I50" i="11" s="1"/>
  <c r="I17" i="11"/>
  <c r="I18" i="11" s="1"/>
  <c r="K33" i="11"/>
  <c r="C5" i="11"/>
  <c r="I34" i="9"/>
  <c r="L8" i="9" s="1"/>
  <c r="I41" i="10"/>
  <c r="J33" i="10" s="1"/>
  <c r="J5" i="10"/>
  <c r="L5" i="10" s="1"/>
  <c r="M50" i="10"/>
  <c r="J49" i="10" s="1"/>
  <c r="I50" i="10" s="1"/>
  <c r="I17" i="10"/>
  <c r="I18" i="10" s="1"/>
  <c r="K33" i="10"/>
  <c r="I34" i="10" s="1"/>
  <c r="C5" i="10"/>
  <c r="F5" i="9"/>
  <c r="K8" i="9"/>
  <c r="M8" i="9"/>
  <c r="I5" i="9"/>
  <c r="I41" i="7"/>
  <c r="J33" i="7" s="1"/>
  <c r="I34" i="7" s="1"/>
  <c r="M5" i="7" s="1"/>
  <c r="J5" i="7"/>
  <c r="L5" i="7" s="1"/>
  <c r="I18" i="7"/>
  <c r="K8" i="7" s="1"/>
  <c r="I41" i="8"/>
  <c r="J33" i="8" s="1"/>
  <c r="J5" i="8"/>
  <c r="L5" i="8" s="1"/>
  <c r="M50" i="8"/>
  <c r="J49" i="8" s="1"/>
  <c r="I50" i="8" s="1"/>
  <c r="I17" i="8"/>
  <c r="I18" i="8" s="1"/>
  <c r="K33" i="8"/>
  <c r="C5" i="8"/>
  <c r="I5" i="7"/>
  <c r="M8" i="7"/>
  <c r="I34" i="13" l="1"/>
  <c r="L8" i="13" s="1"/>
  <c r="M5" i="14"/>
  <c r="I9" i="14"/>
  <c r="N5" i="14" s="1"/>
  <c r="F5" i="13"/>
  <c r="K8" i="13"/>
  <c r="M5" i="13"/>
  <c r="M8" i="13"/>
  <c r="I5" i="13"/>
  <c r="F5" i="12"/>
  <c r="L8" i="12"/>
  <c r="I9" i="12" s="1"/>
  <c r="N5" i="12" s="1"/>
  <c r="M5" i="12"/>
  <c r="I34" i="11"/>
  <c r="L8" i="11" s="1"/>
  <c r="M8" i="11"/>
  <c r="I5" i="11"/>
  <c r="K8" i="11"/>
  <c r="F5" i="11"/>
  <c r="M5" i="9"/>
  <c r="I9" i="9"/>
  <c r="N5" i="9" s="1"/>
  <c r="L8" i="10"/>
  <c r="M5" i="10"/>
  <c r="M8" i="10"/>
  <c r="I5" i="10"/>
  <c r="F5" i="10"/>
  <c r="K8" i="10"/>
  <c r="F5" i="7"/>
  <c r="L8" i="7"/>
  <c r="I9" i="7" s="1"/>
  <c r="N5" i="7" s="1"/>
  <c r="F5" i="8"/>
  <c r="K8" i="8"/>
  <c r="M8" i="8"/>
  <c r="I5" i="8"/>
  <c r="I34" i="8"/>
  <c r="I9" i="13" l="1"/>
  <c r="N5" i="13" s="1"/>
  <c r="M5" i="11"/>
  <c r="I9" i="11"/>
  <c r="N5" i="11" s="1"/>
  <c r="I9" i="10"/>
  <c r="N5" i="10" s="1"/>
  <c r="L8" i="8"/>
  <c r="I9" i="8" s="1"/>
  <c r="N5" i="8" s="1"/>
  <c r="M5" i="8"/>
</calcChain>
</file>

<file path=xl/sharedStrings.xml><?xml version="1.0" encoding="utf-8"?>
<sst xmlns="http://schemas.openxmlformats.org/spreadsheetml/2006/main" count="1516" uniqueCount="285">
  <si>
    <t>Solvent</t>
  </si>
  <si>
    <t>A</t>
  </si>
  <si>
    <t>B</t>
  </si>
  <si>
    <t>C</t>
  </si>
  <si>
    <t>SQUO-M</t>
  </si>
  <si>
    <t>x</t>
  </si>
  <si>
    <t>π</t>
  </si>
  <si>
    <r>
      <t>MWt</t>
    </r>
    <r>
      <rPr>
        <vertAlign val="subscript"/>
        <sz val="12"/>
        <color theme="1"/>
        <rFont val="Arial"/>
        <family val="2"/>
      </rPr>
      <t>vap</t>
    </r>
  </si>
  <si>
    <t>α</t>
  </si>
  <si>
    <t>(per tank)</t>
  </si>
  <si>
    <t>Bulk Tanks 1-5</t>
  </si>
  <si>
    <t>Bulk Tanks 6-7</t>
  </si>
  <si>
    <t>Solvent Tanks 1-2</t>
  </si>
  <si>
    <t>Solvent Tank 3</t>
  </si>
  <si>
    <t>Solvent Tank 4</t>
  </si>
  <si>
    <t>SHELT-M</t>
  </si>
  <si>
    <t>Solvent Tank 5</t>
  </si>
  <si>
    <t>MP5</t>
  </si>
  <si>
    <r>
      <t>MWt</t>
    </r>
    <r>
      <rPr>
        <b/>
        <vertAlign val="subscript"/>
        <sz val="10"/>
        <color theme="1"/>
        <rFont val="Arial"/>
        <family val="2"/>
      </rPr>
      <t>(vap)</t>
    </r>
  </si>
  <si>
    <r>
      <t>Calculated vapour pressure P</t>
    </r>
    <r>
      <rPr>
        <b/>
        <vertAlign val="subscript"/>
        <sz val="10"/>
        <color theme="1"/>
        <rFont val="Arial"/>
        <family val="2"/>
      </rPr>
      <t>VA</t>
    </r>
    <r>
      <rPr>
        <b/>
        <sz val="10"/>
        <color theme="1"/>
        <rFont val="Arial"/>
        <family val="2"/>
      </rPr>
      <t xml:space="preserve"> at T</t>
    </r>
    <r>
      <rPr>
        <b/>
        <vertAlign val="subscript"/>
        <sz val="10"/>
        <color theme="1"/>
        <rFont val="Arial"/>
        <family val="2"/>
      </rPr>
      <t>LS</t>
    </r>
    <r>
      <rPr>
        <b/>
        <sz val="10"/>
        <color theme="1"/>
        <rFont val="Arial"/>
        <family val="2"/>
      </rPr>
      <t xml:space="preserve"> (kPa)</t>
    </r>
  </si>
  <si>
    <r>
      <t>conc</t>
    </r>
    <r>
      <rPr>
        <b/>
        <vertAlign val="subscript"/>
        <sz val="10"/>
        <color theme="1"/>
        <rFont val="Arial"/>
        <family val="2"/>
      </rPr>
      <t>vap</t>
    </r>
    <r>
      <rPr>
        <b/>
        <sz val="10"/>
        <color theme="1"/>
        <rFont val="Arial"/>
        <family val="2"/>
      </rPr>
      <t xml:space="preserve"> (kgm</t>
    </r>
    <r>
      <rPr>
        <b/>
        <vertAlign val="superscript"/>
        <sz val="10"/>
        <color theme="1"/>
        <rFont val="Arial"/>
        <family val="2"/>
      </rPr>
      <t>-3</t>
    </r>
    <r>
      <rPr>
        <b/>
        <sz val="10"/>
        <color theme="1"/>
        <rFont val="Arial"/>
        <family val="2"/>
      </rPr>
      <t>)</t>
    </r>
  </si>
  <si>
    <r>
      <t>V</t>
    </r>
    <r>
      <rPr>
        <b/>
        <vertAlign val="subscript"/>
        <sz val="10"/>
        <color theme="1"/>
        <rFont val="Arial"/>
        <family val="2"/>
      </rPr>
      <t>vap</t>
    </r>
    <r>
      <rPr>
        <b/>
        <sz val="10"/>
        <color theme="1"/>
        <rFont val="Arial"/>
        <family val="2"/>
      </rPr>
      <t xml:space="preserve"> (m</t>
    </r>
    <r>
      <rPr>
        <b/>
        <vertAlign val="superscript"/>
        <sz val="10"/>
        <color theme="1"/>
        <rFont val="Arial"/>
        <family val="2"/>
      </rPr>
      <t>3</t>
    </r>
    <r>
      <rPr>
        <b/>
        <sz val="10"/>
        <color theme="1"/>
        <rFont val="Arial"/>
        <family val="2"/>
      </rPr>
      <t>)</t>
    </r>
  </si>
  <si>
    <r>
      <t>h</t>
    </r>
    <r>
      <rPr>
        <b/>
        <vertAlign val="subscript"/>
        <sz val="10"/>
        <color theme="1"/>
        <rFont val="Arial"/>
        <family val="2"/>
      </rPr>
      <t>v</t>
    </r>
    <r>
      <rPr>
        <b/>
        <sz val="10"/>
        <color theme="1"/>
        <rFont val="Arial"/>
        <family val="2"/>
      </rPr>
      <t xml:space="preserve"> (m)</t>
    </r>
  </si>
  <si>
    <r>
      <t>K</t>
    </r>
    <r>
      <rPr>
        <b/>
        <vertAlign val="subscript"/>
        <sz val="10"/>
        <color theme="1"/>
        <rFont val="Arial"/>
        <family val="2"/>
      </rPr>
      <t>S</t>
    </r>
  </si>
  <si>
    <r>
      <t>ΔP</t>
    </r>
    <r>
      <rPr>
        <b/>
        <vertAlign val="subscript"/>
        <sz val="10"/>
        <color theme="1"/>
        <rFont val="Arial"/>
        <family val="2"/>
      </rPr>
      <t>v</t>
    </r>
    <r>
      <rPr>
        <b/>
        <sz val="10"/>
        <color theme="1"/>
        <rFont val="Arial"/>
        <family val="2"/>
      </rPr>
      <t xml:space="preserve"> (kPa)</t>
    </r>
  </si>
  <si>
    <r>
      <t>K</t>
    </r>
    <r>
      <rPr>
        <b/>
        <vertAlign val="subscript"/>
        <sz val="10"/>
        <color theme="1"/>
        <rFont val="Arial"/>
        <family val="2"/>
      </rPr>
      <t>E</t>
    </r>
  </si>
  <si>
    <r>
      <t>Breathing losses (kgy</t>
    </r>
    <r>
      <rPr>
        <b/>
        <vertAlign val="superscript"/>
        <sz val="10"/>
        <color theme="1"/>
        <rFont val="Arial"/>
        <family val="2"/>
      </rPr>
      <t>-1</t>
    </r>
    <r>
      <rPr>
        <b/>
        <sz val="10"/>
        <color theme="1"/>
        <rFont val="Arial"/>
        <family val="2"/>
      </rPr>
      <t>)</t>
    </r>
  </si>
  <si>
    <t>Calculations</t>
  </si>
  <si>
    <t>MWt</t>
  </si>
  <si>
    <t>Molecular weight of the vapour of the solvent(s)</t>
  </si>
  <si>
    <r>
      <t>MWt</t>
    </r>
    <r>
      <rPr>
        <b/>
        <vertAlign val="subscript"/>
        <sz val="10"/>
        <color theme="1"/>
        <rFont val="Arial"/>
        <family val="2"/>
      </rPr>
      <t>vap</t>
    </r>
  </si>
  <si>
    <r>
      <t>V</t>
    </r>
    <r>
      <rPr>
        <b/>
        <vertAlign val="subscript"/>
        <sz val="10"/>
        <color theme="1"/>
        <rFont val="Arial"/>
        <family val="2"/>
      </rPr>
      <t>vap</t>
    </r>
  </si>
  <si>
    <r>
      <t>conc</t>
    </r>
    <r>
      <rPr>
        <b/>
        <vertAlign val="subscript"/>
        <sz val="10"/>
        <color theme="1"/>
        <rFont val="Arial"/>
        <family val="2"/>
      </rPr>
      <t>vap</t>
    </r>
  </si>
  <si>
    <r>
      <t>The free space volume above the liquid (in m</t>
    </r>
    <r>
      <rPr>
        <i/>
        <vertAlign val="superscript"/>
        <sz val="10"/>
        <color theme="1"/>
        <rFont val="Arial"/>
        <family val="2"/>
      </rPr>
      <t>3</t>
    </r>
    <r>
      <rPr>
        <i/>
        <sz val="10"/>
        <color theme="1"/>
        <rFont val="Arial"/>
        <family val="2"/>
      </rPr>
      <t>)</t>
    </r>
  </si>
  <si>
    <r>
      <t>The vapour concentration (in kgm</t>
    </r>
    <r>
      <rPr>
        <i/>
        <vertAlign val="superscript"/>
        <sz val="10"/>
        <color theme="1"/>
        <rFont val="Arial"/>
        <family val="2"/>
      </rPr>
      <t>-3</t>
    </r>
    <r>
      <rPr>
        <i/>
        <sz val="10"/>
        <color theme="1"/>
        <rFont val="Arial"/>
        <family val="2"/>
      </rPr>
      <t>)</t>
    </r>
  </si>
  <si>
    <r>
      <t>conc</t>
    </r>
    <r>
      <rPr>
        <b/>
        <vertAlign val="subscript"/>
        <sz val="12"/>
        <color theme="1"/>
        <rFont val="Arial"/>
        <family val="2"/>
      </rPr>
      <t>vap</t>
    </r>
    <r>
      <rPr>
        <b/>
        <sz val="12"/>
        <color theme="1"/>
        <rFont val="Arial"/>
        <family val="2"/>
      </rPr>
      <t xml:space="preserve"> = (MWt</t>
    </r>
    <r>
      <rPr>
        <b/>
        <vertAlign val="subscript"/>
        <sz val="12"/>
        <color theme="1"/>
        <rFont val="Arial"/>
        <family val="2"/>
      </rPr>
      <t>vap</t>
    </r>
    <r>
      <rPr>
        <b/>
        <sz val="12"/>
        <color theme="1"/>
        <rFont val="Arial"/>
        <family val="2"/>
      </rPr>
      <t xml:space="preserve"> x P</t>
    </r>
    <r>
      <rPr>
        <b/>
        <vertAlign val="subscript"/>
        <sz val="12"/>
        <color theme="1"/>
        <rFont val="Arial"/>
        <family val="2"/>
      </rPr>
      <t>VA</t>
    </r>
    <r>
      <rPr>
        <b/>
        <sz val="12"/>
        <color theme="1"/>
        <rFont val="Arial"/>
        <family val="2"/>
      </rPr>
      <t>) / (8.3143 x T</t>
    </r>
    <r>
      <rPr>
        <b/>
        <vertAlign val="subscript"/>
        <sz val="12"/>
        <color theme="1"/>
        <rFont val="Arial"/>
        <family val="2"/>
      </rPr>
      <t>LS</t>
    </r>
    <r>
      <rPr>
        <b/>
        <sz val="12"/>
        <color theme="1"/>
        <rFont val="Arial"/>
        <family val="2"/>
      </rPr>
      <t xml:space="preserve">) </t>
    </r>
  </si>
  <si>
    <r>
      <t xml:space="preserve"> K</t>
    </r>
    <r>
      <rPr>
        <b/>
        <vertAlign val="subscript"/>
        <sz val="10"/>
        <color theme="1"/>
        <rFont val="Arial"/>
        <family val="2"/>
      </rPr>
      <t>E</t>
    </r>
  </si>
  <si>
    <t>The coefficient of expansion of the vapour</t>
  </si>
  <si>
    <r>
      <t>P</t>
    </r>
    <r>
      <rPr>
        <b/>
        <vertAlign val="subscript"/>
        <sz val="10"/>
        <color theme="1"/>
        <rFont val="Arial"/>
        <family val="2"/>
      </rPr>
      <t>VA</t>
    </r>
  </si>
  <si>
    <r>
      <t>The vapour pressure at the average temperature of the surface of the liquid (T</t>
    </r>
    <r>
      <rPr>
        <i/>
        <vertAlign val="subscript"/>
        <sz val="10"/>
        <color theme="1"/>
        <rFont val="Arial"/>
        <family val="2"/>
      </rPr>
      <t>LS</t>
    </r>
    <r>
      <rPr>
        <i/>
        <sz val="10"/>
        <color theme="1"/>
        <rFont val="Arial"/>
        <family val="2"/>
      </rPr>
      <t>)</t>
    </r>
  </si>
  <si>
    <r>
      <t>T</t>
    </r>
    <r>
      <rPr>
        <b/>
        <vertAlign val="subscript"/>
        <sz val="10"/>
        <color theme="1"/>
        <rFont val="Arial"/>
        <family val="2"/>
      </rPr>
      <t>LS</t>
    </r>
  </si>
  <si>
    <t>The vapour pressure at a particular temperature can be calculated using the Antoine Equation:</t>
  </si>
  <si>
    <r>
      <t>where P is the pressure, A, B and C are Antoine Constants for the given solvent (taken from A5.1 Solvent Data) and T is the particular temperature. i.e. Use the temperature T</t>
    </r>
    <r>
      <rPr>
        <vertAlign val="subscript"/>
        <sz val="10"/>
        <color theme="1"/>
        <rFont val="Arial"/>
        <family val="2"/>
      </rPr>
      <t>LS</t>
    </r>
    <r>
      <rPr>
        <sz val="10"/>
        <color theme="1"/>
        <rFont val="Arial"/>
        <family val="2"/>
      </rPr>
      <t xml:space="preserve"> if you want to get P</t>
    </r>
    <r>
      <rPr>
        <vertAlign val="subscript"/>
        <sz val="10"/>
        <color theme="1"/>
        <rFont val="Arial"/>
        <family val="2"/>
      </rPr>
      <t>VA</t>
    </r>
    <r>
      <rPr>
        <sz val="10"/>
        <color theme="1"/>
        <rFont val="Arial"/>
        <family val="2"/>
      </rPr>
      <t>. Pressure is given in kPa and the temperature here must be in °C.</t>
    </r>
  </si>
  <si>
    <r>
      <rPr>
        <b/>
        <sz val="12"/>
        <color theme="1"/>
        <rFont val="Arial"/>
        <family val="2"/>
      </rPr>
      <t>T</t>
    </r>
    <r>
      <rPr>
        <b/>
        <vertAlign val="subscript"/>
        <sz val="12"/>
        <color theme="1"/>
        <rFont val="Arial"/>
        <family val="2"/>
      </rPr>
      <t>LS</t>
    </r>
    <r>
      <rPr>
        <b/>
        <sz val="12"/>
        <color theme="1"/>
        <rFont val="Arial"/>
        <family val="2"/>
      </rPr>
      <t xml:space="preserve"> = (0.44 x T</t>
    </r>
    <r>
      <rPr>
        <b/>
        <vertAlign val="subscript"/>
        <sz val="12"/>
        <color theme="1"/>
        <rFont val="Arial"/>
        <family val="2"/>
      </rPr>
      <t>M</t>
    </r>
    <r>
      <rPr>
        <b/>
        <sz val="12"/>
        <color theme="1"/>
        <rFont val="Arial"/>
        <family val="2"/>
      </rPr>
      <t>) + (0.56 x T</t>
    </r>
    <r>
      <rPr>
        <b/>
        <vertAlign val="subscript"/>
        <sz val="12"/>
        <color theme="1"/>
        <rFont val="Arial"/>
        <family val="2"/>
      </rPr>
      <t>LM</t>
    </r>
    <r>
      <rPr>
        <b/>
        <sz val="12"/>
        <color theme="1"/>
        <rFont val="Arial"/>
        <family val="2"/>
      </rPr>
      <t>) + (0.00503 x α x l)</t>
    </r>
  </si>
  <si>
    <r>
      <t>T</t>
    </r>
    <r>
      <rPr>
        <b/>
        <vertAlign val="subscript"/>
        <sz val="10"/>
        <color theme="1"/>
        <rFont val="Arial"/>
        <family val="2"/>
      </rPr>
      <t>M</t>
    </r>
  </si>
  <si>
    <t>Could be determined using Met Office weather data</t>
  </si>
  <si>
    <r>
      <t>T</t>
    </r>
    <r>
      <rPr>
        <b/>
        <vertAlign val="subscript"/>
        <sz val="10"/>
        <color theme="1"/>
        <rFont val="Arial"/>
        <family val="2"/>
      </rPr>
      <t>LM</t>
    </r>
  </si>
  <si>
    <r>
      <t>T</t>
    </r>
    <r>
      <rPr>
        <b/>
        <vertAlign val="subscript"/>
        <sz val="12"/>
        <color theme="1"/>
        <rFont val="Arial"/>
        <family val="2"/>
      </rPr>
      <t>LM</t>
    </r>
    <r>
      <rPr>
        <b/>
        <sz val="12"/>
        <color theme="1"/>
        <rFont val="Arial"/>
        <family val="2"/>
      </rPr>
      <t xml:space="preserve"> = T</t>
    </r>
    <r>
      <rPr>
        <b/>
        <vertAlign val="subscript"/>
        <sz val="12"/>
        <color theme="1"/>
        <rFont val="Arial"/>
        <family val="2"/>
      </rPr>
      <t>M</t>
    </r>
    <r>
      <rPr>
        <b/>
        <sz val="12"/>
        <color theme="1"/>
        <rFont val="Arial"/>
        <family val="2"/>
      </rPr>
      <t xml:space="preserve"> + (3.33 x α) -0.55</t>
    </r>
  </si>
  <si>
    <t>A dimensionless factor for the solar absorbance of the tank</t>
  </si>
  <si>
    <t>Determined from the table in A5.2.2</t>
  </si>
  <si>
    <t>l</t>
  </si>
  <si>
    <r>
      <t>The average temperature of the surface of the liquid (</t>
    </r>
    <r>
      <rPr>
        <sz val="10"/>
        <color theme="1"/>
        <rFont val="Arial"/>
        <family val="2"/>
      </rPr>
      <t>°</t>
    </r>
    <r>
      <rPr>
        <i/>
        <sz val="10"/>
        <color theme="1"/>
        <rFont val="Arial"/>
        <family val="2"/>
      </rPr>
      <t>K)</t>
    </r>
  </si>
  <si>
    <t>The mean ambient temperature at the location of the tank (°K)</t>
  </si>
  <si>
    <t>The temperature of the mass of the liquid (°K)</t>
  </si>
  <si>
    <r>
      <t>K</t>
    </r>
    <r>
      <rPr>
        <b/>
        <vertAlign val="subscript"/>
        <sz val="12"/>
        <color theme="1"/>
        <rFont val="Arial"/>
        <family val="2"/>
      </rPr>
      <t>E</t>
    </r>
    <r>
      <rPr>
        <b/>
        <sz val="12"/>
        <color theme="1"/>
        <rFont val="Arial"/>
        <family val="2"/>
      </rPr>
      <t xml:space="preserve"> = ΔT</t>
    </r>
    <r>
      <rPr>
        <b/>
        <vertAlign val="subscript"/>
        <sz val="12"/>
        <color theme="1"/>
        <rFont val="Arial"/>
        <family val="2"/>
      </rPr>
      <t xml:space="preserve">V </t>
    </r>
    <r>
      <rPr>
        <b/>
        <sz val="12"/>
        <color theme="1"/>
        <rFont val="Arial"/>
        <family val="2"/>
      </rPr>
      <t>/ T</t>
    </r>
    <r>
      <rPr>
        <b/>
        <vertAlign val="subscript"/>
        <sz val="12"/>
        <color theme="1"/>
        <rFont val="Arial"/>
        <family val="2"/>
      </rPr>
      <t>LS</t>
    </r>
    <r>
      <rPr>
        <b/>
        <sz val="12"/>
        <color theme="1"/>
        <rFont val="Arial"/>
        <family val="2"/>
      </rPr>
      <t xml:space="preserve"> + [(ΔP</t>
    </r>
    <r>
      <rPr>
        <b/>
        <vertAlign val="subscript"/>
        <sz val="12"/>
        <color theme="1"/>
        <rFont val="Arial"/>
        <family val="2"/>
      </rPr>
      <t>v</t>
    </r>
    <r>
      <rPr>
        <b/>
        <sz val="12"/>
        <color theme="1"/>
        <rFont val="Arial"/>
        <family val="2"/>
      </rPr>
      <t xml:space="preserve"> - ΔP</t>
    </r>
    <r>
      <rPr>
        <b/>
        <vertAlign val="subscript"/>
        <sz val="12"/>
        <color theme="1"/>
        <rFont val="Arial"/>
        <family val="2"/>
      </rPr>
      <t>s</t>
    </r>
    <r>
      <rPr>
        <b/>
        <sz val="12"/>
        <color theme="1"/>
        <rFont val="Arial"/>
        <family val="2"/>
      </rPr>
      <t>) / (P</t>
    </r>
    <r>
      <rPr>
        <b/>
        <vertAlign val="subscript"/>
        <sz val="12"/>
        <color theme="1"/>
        <rFont val="Arial"/>
        <family val="2"/>
      </rPr>
      <t>A</t>
    </r>
    <r>
      <rPr>
        <b/>
        <sz val="12"/>
        <color theme="1"/>
        <rFont val="Arial"/>
        <family val="2"/>
      </rPr>
      <t xml:space="preserve"> -P</t>
    </r>
    <r>
      <rPr>
        <b/>
        <vertAlign val="subscript"/>
        <sz val="12"/>
        <color theme="1"/>
        <rFont val="Arial"/>
        <family val="2"/>
      </rPr>
      <t>VA</t>
    </r>
    <r>
      <rPr>
        <b/>
        <sz val="12"/>
        <color theme="1"/>
        <rFont val="Arial"/>
        <family val="2"/>
      </rPr>
      <t>)]</t>
    </r>
  </si>
  <si>
    <r>
      <rPr>
        <b/>
        <sz val="12"/>
        <color theme="1"/>
        <rFont val="Arial"/>
        <family val="2"/>
      </rPr>
      <t>ΔT</t>
    </r>
    <r>
      <rPr>
        <b/>
        <vertAlign val="subscript"/>
        <sz val="12"/>
        <color theme="1"/>
        <rFont val="Arial"/>
        <family val="2"/>
      </rPr>
      <t>V</t>
    </r>
    <r>
      <rPr>
        <b/>
        <sz val="12"/>
        <color theme="1"/>
        <rFont val="Arial"/>
        <family val="2"/>
      </rPr>
      <t xml:space="preserve"> = 0.72 x ΔT</t>
    </r>
    <r>
      <rPr>
        <b/>
        <vertAlign val="subscript"/>
        <sz val="12"/>
        <color theme="1"/>
        <rFont val="Arial"/>
        <family val="2"/>
      </rPr>
      <t>A</t>
    </r>
    <r>
      <rPr>
        <b/>
        <sz val="12"/>
        <color theme="1"/>
        <rFont val="Arial"/>
        <family val="2"/>
      </rPr>
      <t xml:space="preserve"> + 0.0155 x α x l</t>
    </r>
  </si>
  <si>
    <r>
      <t>ΔT</t>
    </r>
    <r>
      <rPr>
        <b/>
        <vertAlign val="subscript"/>
        <sz val="10"/>
        <color theme="1"/>
        <rFont val="Arial"/>
        <family val="2"/>
      </rPr>
      <t>V</t>
    </r>
  </si>
  <si>
    <t>The daily temperature range e.g. 7.9 °C for Bedford (closest to St. Neots)</t>
  </si>
  <si>
    <r>
      <t>h</t>
    </r>
    <r>
      <rPr>
        <b/>
        <vertAlign val="subscript"/>
        <sz val="10"/>
        <color theme="1"/>
        <rFont val="Arial"/>
        <family val="2"/>
      </rPr>
      <t>v</t>
    </r>
  </si>
  <si>
    <t>The height of the free space above the liquid (m)</t>
  </si>
  <si>
    <t xml:space="preserve">Determined from the half of the height of the tank (for 50% tank volume calculations) </t>
  </si>
  <si>
    <r>
      <t>V</t>
    </r>
    <r>
      <rPr>
        <b/>
        <vertAlign val="subscript"/>
        <sz val="12"/>
        <color theme="1"/>
        <rFont val="Arial"/>
        <family val="2"/>
      </rPr>
      <t>vap</t>
    </r>
    <r>
      <rPr>
        <b/>
        <sz val="12"/>
        <color theme="1"/>
        <rFont val="Arial"/>
        <family val="2"/>
      </rPr>
      <t xml:space="preserve"> = πr</t>
    </r>
    <r>
      <rPr>
        <b/>
        <vertAlign val="superscript"/>
        <sz val="12"/>
        <color theme="1"/>
        <rFont val="Arial"/>
        <family val="2"/>
      </rPr>
      <t>2</t>
    </r>
    <r>
      <rPr>
        <b/>
        <sz val="12"/>
        <color theme="1"/>
        <rFont val="Arial"/>
        <family val="2"/>
      </rPr>
      <t>h</t>
    </r>
    <r>
      <rPr>
        <b/>
        <vertAlign val="subscript"/>
        <sz val="12"/>
        <color theme="1"/>
        <rFont val="Arial"/>
        <family val="2"/>
      </rPr>
      <t>v</t>
    </r>
  </si>
  <si>
    <t>r</t>
  </si>
  <si>
    <t>The radius of the tank</t>
  </si>
  <si>
    <r>
      <t>ΔT</t>
    </r>
    <r>
      <rPr>
        <b/>
        <vertAlign val="subscript"/>
        <sz val="10"/>
        <color theme="1"/>
        <rFont val="Arial"/>
        <family val="2"/>
      </rPr>
      <t>A</t>
    </r>
  </si>
  <si>
    <t>The daily temperature range of the vapour</t>
  </si>
  <si>
    <t>Calculated using the equation provided (see left). Temperatures are in °K and pressures are in kPa.</t>
  </si>
  <si>
    <t>Calculated using the equation provided (see left). Temperatures are in °K.</t>
  </si>
  <si>
    <t>Calculated using the equation provided (see left) Temperature is in °C but units are essentially irrelevent because a range is given.</t>
  </si>
  <si>
    <t>Could be determined using Met Office weather data. Temperature is in °C but units are essentially irrelevent because a range is given.</t>
  </si>
  <si>
    <r>
      <t>Calculated using the equation provided (see left). Keep units for MWt as gmol</t>
    </r>
    <r>
      <rPr>
        <vertAlign val="superscript"/>
        <sz val="10"/>
        <color theme="1"/>
        <rFont val="Arial"/>
        <family val="2"/>
      </rPr>
      <t>-1</t>
    </r>
    <r>
      <rPr>
        <sz val="10"/>
        <color theme="1"/>
        <rFont val="Arial"/>
        <family val="2"/>
      </rPr>
      <t xml:space="preserve">, pressure in kPa and temperature in °K. </t>
    </r>
  </si>
  <si>
    <r>
      <t>(from solvent MSDS, A5.1 Solvent Data etc). The units are gmol</t>
    </r>
    <r>
      <rPr>
        <vertAlign val="superscript"/>
        <sz val="10"/>
        <color theme="1"/>
        <rFont val="Arial"/>
        <family val="2"/>
      </rPr>
      <t>-1</t>
    </r>
    <r>
      <rPr>
        <sz val="10"/>
        <color theme="1"/>
        <rFont val="Arial"/>
        <family val="2"/>
      </rPr>
      <t>.</t>
    </r>
  </si>
  <si>
    <r>
      <t xml:space="preserve">(determined by volume in tank - for 2017 report this was assumed to be half of total tank volume) </t>
    </r>
    <r>
      <rPr>
        <sz val="10"/>
        <color theme="1"/>
        <rFont val="Arial"/>
        <family val="2"/>
      </rPr>
      <t>where r is the radius of the tank and h is the height of the tank (in this case half of the height is used in order to give 50% tank volume)</t>
    </r>
  </si>
  <si>
    <r>
      <t>ΔP</t>
    </r>
    <r>
      <rPr>
        <b/>
        <vertAlign val="subscript"/>
        <sz val="10"/>
        <color theme="1"/>
        <rFont val="Arial"/>
        <family val="2"/>
      </rPr>
      <t>v</t>
    </r>
  </si>
  <si>
    <t>The daily pressure range (kPa) of the vapour</t>
  </si>
  <si>
    <r>
      <t>Calculated using Antoine's equation (exactly the same as P</t>
    </r>
    <r>
      <rPr>
        <vertAlign val="subscript"/>
        <sz val="10"/>
        <color theme="1"/>
        <rFont val="Arial"/>
        <family val="2"/>
      </rPr>
      <t>VA</t>
    </r>
    <r>
      <rPr>
        <sz val="10"/>
        <color theme="1"/>
        <rFont val="Arial"/>
        <family val="2"/>
      </rPr>
      <t>). In order to get the pressure range,  Antoine's equation must be solved at the maximum (</t>
    </r>
    <r>
      <rPr>
        <b/>
        <sz val="10"/>
        <color theme="1"/>
        <rFont val="Arial"/>
        <family val="2"/>
      </rPr>
      <t>T</t>
    </r>
    <r>
      <rPr>
        <b/>
        <vertAlign val="subscript"/>
        <sz val="10"/>
        <color theme="1"/>
        <rFont val="Arial"/>
        <family val="2"/>
      </rPr>
      <t>Lmax</t>
    </r>
    <r>
      <rPr>
        <sz val="10"/>
        <color theme="1"/>
        <rFont val="Arial"/>
        <family val="2"/>
      </rPr>
      <t>) and minimum (</t>
    </r>
    <r>
      <rPr>
        <b/>
        <sz val="10"/>
        <color theme="1"/>
        <rFont val="Arial"/>
        <family val="2"/>
      </rPr>
      <t>T</t>
    </r>
    <r>
      <rPr>
        <b/>
        <vertAlign val="subscript"/>
        <sz val="10"/>
        <color theme="1"/>
        <rFont val="Arial"/>
        <family val="2"/>
      </rPr>
      <t>Lmin</t>
    </r>
    <r>
      <rPr>
        <sz val="10"/>
        <color theme="1"/>
        <rFont val="Arial"/>
        <family val="2"/>
      </rPr>
      <t>) temperatures of the liquid surface, so use these values in place of the temperature term.</t>
    </r>
  </si>
  <si>
    <r>
      <t>T</t>
    </r>
    <r>
      <rPr>
        <b/>
        <vertAlign val="subscript"/>
        <sz val="10"/>
        <color theme="1"/>
        <rFont val="Arial"/>
        <family val="2"/>
      </rPr>
      <t>Lmax</t>
    </r>
  </si>
  <si>
    <t>The maximum temperature of the liquid surface (°C)</t>
  </si>
  <si>
    <t>The minimum temperature of the liquid surface (°C)</t>
  </si>
  <si>
    <t>Calculated using the equation provided (see left). Temperatures are in °C.</t>
  </si>
  <si>
    <r>
      <t>T</t>
    </r>
    <r>
      <rPr>
        <b/>
        <vertAlign val="subscript"/>
        <sz val="10"/>
        <color theme="1"/>
        <rFont val="Arial"/>
        <family val="2"/>
      </rPr>
      <t>Lmin</t>
    </r>
  </si>
  <si>
    <r>
      <t>ΔP</t>
    </r>
    <r>
      <rPr>
        <b/>
        <vertAlign val="subscript"/>
        <sz val="12"/>
        <color theme="1"/>
        <rFont val="Arial"/>
        <family val="2"/>
      </rPr>
      <t>v</t>
    </r>
    <r>
      <rPr>
        <b/>
        <sz val="12"/>
        <color theme="1"/>
        <rFont val="Arial"/>
        <family val="2"/>
      </rPr>
      <t xml:space="preserve"> = (10</t>
    </r>
    <r>
      <rPr>
        <b/>
        <vertAlign val="superscript"/>
        <sz val="12"/>
        <color theme="1"/>
        <rFont val="Arial"/>
        <family val="2"/>
      </rPr>
      <t>^</t>
    </r>
    <r>
      <rPr>
        <b/>
        <sz val="12"/>
        <color theme="1"/>
        <rFont val="Arial"/>
        <family val="2"/>
      </rPr>
      <t>[A - (B / (C+T</t>
    </r>
    <r>
      <rPr>
        <b/>
        <vertAlign val="subscript"/>
        <sz val="12"/>
        <color theme="1"/>
        <rFont val="Arial"/>
        <family val="2"/>
      </rPr>
      <t>Lmax</t>
    </r>
    <r>
      <rPr>
        <b/>
        <sz val="12"/>
        <color theme="1"/>
        <rFont val="Arial"/>
        <family val="2"/>
      </rPr>
      <t>))]) - (10</t>
    </r>
    <r>
      <rPr>
        <b/>
        <vertAlign val="superscript"/>
        <sz val="12"/>
        <color theme="1"/>
        <rFont val="Arial"/>
        <family val="2"/>
      </rPr>
      <t>^</t>
    </r>
    <r>
      <rPr>
        <b/>
        <sz val="12"/>
        <color theme="1"/>
        <rFont val="Arial"/>
        <family val="2"/>
      </rPr>
      <t>[A  -(B / (C+T</t>
    </r>
    <r>
      <rPr>
        <b/>
        <vertAlign val="subscript"/>
        <sz val="12"/>
        <color theme="1"/>
        <rFont val="Arial"/>
        <family val="2"/>
      </rPr>
      <t>Lmin</t>
    </r>
    <r>
      <rPr>
        <b/>
        <sz val="12"/>
        <color theme="1"/>
        <rFont val="Arial"/>
        <family val="2"/>
      </rPr>
      <t>))])</t>
    </r>
  </si>
  <si>
    <r>
      <t>P</t>
    </r>
    <r>
      <rPr>
        <b/>
        <vertAlign val="subscript"/>
        <sz val="12"/>
        <color theme="1"/>
        <rFont val="Arial"/>
        <family val="2"/>
      </rPr>
      <t>VA</t>
    </r>
    <r>
      <rPr>
        <b/>
        <sz val="12"/>
        <color theme="1"/>
        <rFont val="Arial"/>
        <family val="2"/>
      </rPr>
      <t xml:space="preserve"> = 10</t>
    </r>
    <r>
      <rPr>
        <b/>
        <vertAlign val="superscript"/>
        <sz val="12"/>
        <color theme="1"/>
        <rFont val="Arial"/>
        <family val="2"/>
      </rPr>
      <t>^</t>
    </r>
    <r>
      <rPr>
        <b/>
        <sz val="12"/>
        <color theme="1"/>
        <rFont val="Arial"/>
        <family val="2"/>
      </rPr>
      <t>[A- (B / (C+T</t>
    </r>
    <r>
      <rPr>
        <b/>
        <vertAlign val="subscript"/>
        <sz val="12"/>
        <color theme="1"/>
        <rFont val="Arial"/>
        <family val="2"/>
      </rPr>
      <t>LS</t>
    </r>
    <r>
      <rPr>
        <b/>
        <sz val="12"/>
        <color theme="1"/>
        <rFont val="Arial"/>
        <family val="2"/>
      </rPr>
      <t>))]</t>
    </r>
  </si>
  <si>
    <r>
      <t>ΔP</t>
    </r>
    <r>
      <rPr>
        <b/>
        <vertAlign val="subscript"/>
        <sz val="10"/>
        <color theme="1"/>
        <rFont val="Arial"/>
        <family val="2"/>
      </rPr>
      <t>s</t>
    </r>
  </si>
  <si>
    <t>The magnitude of the breather vent pressure range</t>
  </si>
  <si>
    <r>
      <t>Where a pressure relief valve is fitted, this is given by the difference in the breather valve pressure setting and the breather valve vacuum setting (kPa). Where these are not known, 0.4 kPa should be used for ΔP</t>
    </r>
    <r>
      <rPr>
        <vertAlign val="subscript"/>
        <sz val="10"/>
        <color theme="1"/>
        <rFont val="Arial"/>
        <family val="2"/>
      </rPr>
      <t>s</t>
    </r>
    <r>
      <rPr>
        <sz val="10"/>
        <color theme="1"/>
        <rFont val="Arial"/>
        <family val="2"/>
      </rPr>
      <t>.</t>
    </r>
  </si>
  <si>
    <r>
      <t>P</t>
    </r>
    <r>
      <rPr>
        <b/>
        <vertAlign val="subscript"/>
        <sz val="10"/>
        <color theme="1"/>
        <rFont val="Arial"/>
        <family val="2"/>
      </rPr>
      <t>A</t>
    </r>
  </si>
  <si>
    <r>
      <t>The atmospheric pressure (</t>
    </r>
    <r>
      <rPr>
        <b/>
        <i/>
        <sz val="10"/>
        <color theme="1"/>
        <rFont val="Arial"/>
        <family val="2"/>
      </rPr>
      <t>101.3 kPa</t>
    </r>
    <r>
      <rPr>
        <i/>
        <sz val="10"/>
        <color theme="1"/>
        <rFont val="Arial"/>
        <family val="2"/>
      </rPr>
      <t>)</t>
    </r>
  </si>
  <si>
    <t>Determined from the table in A5.2.1.2. This can be taken from the average of a default location South (London) and West (Birmingham) of the plant i.e. 887</t>
  </si>
  <si>
    <t>Value given.</t>
  </si>
  <si>
    <r>
      <t>K</t>
    </r>
    <r>
      <rPr>
        <b/>
        <vertAlign val="subscript"/>
        <sz val="12"/>
        <color theme="1"/>
        <rFont val="Arial"/>
        <family val="2"/>
      </rPr>
      <t>S</t>
    </r>
    <r>
      <rPr>
        <b/>
        <sz val="12"/>
        <color theme="1"/>
        <rFont val="Arial"/>
        <family val="2"/>
      </rPr>
      <t xml:space="preserve"> = 1 / [1 + (0.1114 x P</t>
    </r>
    <r>
      <rPr>
        <b/>
        <vertAlign val="subscript"/>
        <sz val="12"/>
        <color theme="1"/>
        <rFont val="Arial"/>
        <family val="2"/>
      </rPr>
      <t>VA</t>
    </r>
    <r>
      <rPr>
        <b/>
        <sz val="12"/>
        <color theme="1"/>
        <rFont val="Arial"/>
        <family val="2"/>
      </rPr>
      <t xml:space="preserve"> x h</t>
    </r>
    <r>
      <rPr>
        <b/>
        <vertAlign val="subscript"/>
        <sz val="12"/>
        <color theme="1"/>
        <rFont val="Arial"/>
        <family val="2"/>
      </rPr>
      <t>v</t>
    </r>
    <r>
      <rPr>
        <b/>
        <sz val="12"/>
        <color theme="1"/>
        <rFont val="Arial"/>
        <family val="2"/>
      </rPr>
      <t>)]</t>
    </r>
  </si>
  <si>
    <t>The vapour saturation factor</t>
  </si>
  <si>
    <t>The number of days per year</t>
  </si>
  <si>
    <t>Calculated using the equation provided (see left). Pressure is given in kPa and height is given in m.</t>
  </si>
  <si>
    <t>Key</t>
  </si>
  <si>
    <t>Symbol</t>
  </si>
  <si>
    <t>Description</t>
  </si>
  <si>
    <t>Information</t>
  </si>
  <si>
    <r>
      <t>Calc. P</t>
    </r>
    <r>
      <rPr>
        <b/>
        <vertAlign val="subscript"/>
        <sz val="10"/>
        <color theme="1"/>
        <rFont val="Arial"/>
        <family val="2"/>
      </rPr>
      <t>v</t>
    </r>
    <r>
      <rPr>
        <b/>
        <sz val="10"/>
        <color theme="1"/>
        <rFont val="Arial"/>
        <family val="2"/>
      </rPr>
      <t xml:space="preserve"> at T</t>
    </r>
    <r>
      <rPr>
        <b/>
        <vertAlign val="subscript"/>
        <sz val="10"/>
        <color theme="1"/>
        <rFont val="Arial"/>
        <family val="2"/>
      </rPr>
      <t>Lmax</t>
    </r>
    <r>
      <rPr>
        <b/>
        <sz val="10"/>
        <color theme="1"/>
        <rFont val="Arial"/>
        <family val="2"/>
      </rPr>
      <t xml:space="preserve"> (kPa)</t>
    </r>
  </si>
  <si>
    <r>
      <t>Calc. P</t>
    </r>
    <r>
      <rPr>
        <b/>
        <vertAlign val="subscript"/>
        <sz val="10"/>
        <color theme="1"/>
        <rFont val="Arial"/>
        <family val="2"/>
      </rPr>
      <t>v</t>
    </r>
    <r>
      <rPr>
        <b/>
        <sz val="10"/>
        <color theme="1"/>
        <rFont val="Arial"/>
        <family val="2"/>
      </rPr>
      <t xml:space="preserve"> at T</t>
    </r>
    <r>
      <rPr>
        <b/>
        <vertAlign val="subscript"/>
        <sz val="10"/>
        <color theme="1"/>
        <rFont val="Arial"/>
        <family val="2"/>
      </rPr>
      <t>Lmin</t>
    </r>
    <r>
      <rPr>
        <b/>
        <sz val="10"/>
        <color theme="1"/>
        <rFont val="Arial"/>
        <family val="2"/>
      </rPr>
      <t xml:space="preserve"> (kPa)</t>
    </r>
  </si>
  <si>
    <r>
      <t>Breathing losses (B</t>
    </r>
    <r>
      <rPr>
        <b/>
        <vertAlign val="subscript"/>
        <sz val="14"/>
        <color theme="1"/>
        <rFont val="Arial"/>
        <family val="2"/>
      </rPr>
      <t>l</t>
    </r>
    <r>
      <rPr>
        <b/>
        <sz val="14"/>
        <color theme="1"/>
        <rFont val="Arial"/>
        <family val="2"/>
      </rPr>
      <t xml:space="preserve">) - </t>
    </r>
    <r>
      <rPr>
        <b/>
        <i/>
        <sz val="14"/>
        <color theme="1"/>
        <rFont val="Arial"/>
        <family val="2"/>
      </rPr>
      <t>full approach</t>
    </r>
  </si>
  <si>
    <r>
      <t>B</t>
    </r>
    <r>
      <rPr>
        <b/>
        <vertAlign val="subscript"/>
        <sz val="12"/>
        <color theme="1"/>
        <rFont val="Arial"/>
        <family val="2"/>
      </rPr>
      <t>l</t>
    </r>
    <r>
      <rPr>
        <b/>
        <sz val="12"/>
        <color theme="1"/>
        <rFont val="Arial"/>
        <family val="2"/>
      </rPr>
      <t xml:space="preserve"> = 365 x V</t>
    </r>
    <r>
      <rPr>
        <b/>
        <vertAlign val="subscript"/>
        <sz val="12"/>
        <color theme="1"/>
        <rFont val="Arial"/>
        <family val="2"/>
      </rPr>
      <t>vap</t>
    </r>
    <r>
      <rPr>
        <b/>
        <sz val="12"/>
        <color theme="1"/>
        <rFont val="Arial"/>
        <family val="2"/>
      </rPr>
      <t xml:space="preserve"> x conc</t>
    </r>
    <r>
      <rPr>
        <b/>
        <vertAlign val="subscript"/>
        <sz val="12"/>
        <color theme="1"/>
        <rFont val="Arial"/>
        <family val="2"/>
      </rPr>
      <t>vap</t>
    </r>
    <r>
      <rPr>
        <b/>
        <sz val="12"/>
        <color theme="1"/>
        <rFont val="Arial"/>
        <family val="2"/>
      </rPr>
      <t xml:space="preserve"> x K</t>
    </r>
    <r>
      <rPr>
        <b/>
        <vertAlign val="subscript"/>
        <sz val="12"/>
        <color theme="1"/>
        <rFont val="Arial"/>
        <family val="2"/>
      </rPr>
      <t>E</t>
    </r>
    <r>
      <rPr>
        <b/>
        <sz val="12"/>
        <color theme="1"/>
        <rFont val="Arial"/>
        <family val="2"/>
      </rPr>
      <t xml:space="preserve"> x K</t>
    </r>
    <r>
      <rPr>
        <b/>
        <vertAlign val="subscript"/>
        <sz val="12"/>
        <color theme="1"/>
        <rFont val="Arial"/>
        <family val="2"/>
      </rPr>
      <t>S</t>
    </r>
  </si>
  <si>
    <t>Tanks 1-5 (per tank)</t>
  </si>
  <si>
    <r>
      <t>V</t>
    </r>
    <r>
      <rPr>
        <b/>
        <vertAlign val="subscript"/>
        <sz val="12"/>
        <color theme="1"/>
        <rFont val="Arial"/>
        <family val="2"/>
      </rPr>
      <t>vap</t>
    </r>
    <r>
      <rPr>
        <b/>
        <sz val="12"/>
        <color theme="1"/>
        <rFont val="Arial"/>
        <family val="2"/>
      </rPr>
      <t xml:space="preserve"> =</t>
    </r>
  </si>
  <si>
    <r>
      <t>T</t>
    </r>
    <r>
      <rPr>
        <b/>
        <vertAlign val="subscript"/>
        <sz val="12"/>
        <color theme="1"/>
        <rFont val="Arial"/>
        <family val="2"/>
      </rPr>
      <t>LM</t>
    </r>
    <r>
      <rPr>
        <b/>
        <sz val="12"/>
        <color theme="1"/>
        <rFont val="Arial"/>
        <family val="2"/>
      </rPr>
      <t xml:space="preserve"> = </t>
    </r>
  </si>
  <si>
    <r>
      <t>T</t>
    </r>
    <r>
      <rPr>
        <b/>
        <vertAlign val="subscript"/>
        <sz val="12"/>
        <color theme="1"/>
        <rFont val="Arial"/>
        <family val="2"/>
      </rPr>
      <t>LS</t>
    </r>
    <r>
      <rPr>
        <b/>
        <sz val="12"/>
        <color theme="1"/>
        <rFont val="Arial"/>
        <family val="2"/>
      </rPr>
      <t xml:space="preserve"> = </t>
    </r>
  </si>
  <si>
    <r>
      <t>T</t>
    </r>
    <r>
      <rPr>
        <vertAlign val="subscript"/>
        <sz val="10"/>
        <color theme="1"/>
        <rFont val="Arial"/>
        <family val="2"/>
      </rPr>
      <t>LM</t>
    </r>
    <r>
      <rPr>
        <sz val="10"/>
        <color theme="1"/>
        <rFont val="Arial"/>
        <family val="2"/>
      </rPr>
      <t xml:space="preserve"> = </t>
    </r>
  </si>
  <si>
    <r>
      <t>P</t>
    </r>
    <r>
      <rPr>
        <b/>
        <vertAlign val="subscript"/>
        <sz val="12"/>
        <color theme="1"/>
        <rFont val="Arial"/>
        <family val="2"/>
      </rPr>
      <t>VA</t>
    </r>
    <r>
      <rPr>
        <b/>
        <sz val="12"/>
        <color theme="1"/>
        <rFont val="Arial"/>
        <family val="2"/>
      </rPr>
      <t xml:space="preserve"> = </t>
    </r>
  </si>
  <si>
    <r>
      <t>T</t>
    </r>
    <r>
      <rPr>
        <vertAlign val="subscript"/>
        <sz val="10"/>
        <color theme="1"/>
        <rFont val="Arial"/>
        <family val="2"/>
      </rPr>
      <t>M</t>
    </r>
    <r>
      <rPr>
        <sz val="10"/>
        <color theme="1"/>
        <rFont val="Arial"/>
        <family val="2"/>
      </rPr>
      <t xml:space="preserve"> (°K)</t>
    </r>
  </si>
  <si>
    <r>
      <t>T</t>
    </r>
    <r>
      <rPr>
        <vertAlign val="subscript"/>
        <sz val="10"/>
        <color theme="1"/>
        <rFont val="Arial"/>
        <family val="2"/>
      </rPr>
      <t>LS</t>
    </r>
    <r>
      <rPr>
        <sz val="10"/>
        <color theme="1"/>
        <rFont val="Arial"/>
        <family val="2"/>
      </rPr>
      <t xml:space="preserve"> = </t>
    </r>
  </si>
  <si>
    <r>
      <t>r</t>
    </r>
    <r>
      <rPr>
        <vertAlign val="superscript"/>
        <sz val="10"/>
        <color theme="1"/>
        <rFont val="Arial"/>
        <family val="2"/>
      </rPr>
      <t>2</t>
    </r>
  </si>
  <si>
    <r>
      <t>h</t>
    </r>
    <r>
      <rPr>
        <vertAlign val="subscript"/>
        <sz val="10"/>
        <color theme="1"/>
        <rFont val="Arial"/>
        <family val="2"/>
      </rPr>
      <t>v</t>
    </r>
  </si>
  <si>
    <r>
      <t>V</t>
    </r>
    <r>
      <rPr>
        <vertAlign val="subscript"/>
        <sz val="10"/>
        <color theme="1"/>
        <rFont val="Arial"/>
        <family val="2"/>
      </rPr>
      <t>vap</t>
    </r>
    <r>
      <rPr>
        <sz val="10"/>
        <color theme="1"/>
        <rFont val="Arial"/>
        <family val="2"/>
      </rPr>
      <t xml:space="preserve"> = </t>
    </r>
  </si>
  <si>
    <r>
      <t>(T</t>
    </r>
    <r>
      <rPr>
        <vertAlign val="subscript"/>
        <sz val="8"/>
        <color theme="1"/>
        <rFont val="Arial"/>
        <family val="2"/>
      </rPr>
      <t>LS</t>
    </r>
    <r>
      <rPr>
        <sz val="8"/>
        <color theme="1"/>
        <rFont val="Arial"/>
        <family val="2"/>
      </rPr>
      <t xml:space="preserve"> is converted to °C for the P</t>
    </r>
    <r>
      <rPr>
        <vertAlign val="subscript"/>
        <sz val="8"/>
        <color theme="1"/>
        <rFont val="Arial"/>
        <family val="2"/>
      </rPr>
      <t>VA</t>
    </r>
    <r>
      <rPr>
        <sz val="8"/>
        <color theme="1"/>
        <rFont val="Arial"/>
        <family val="2"/>
      </rPr>
      <t xml:space="preserve"> calculation)</t>
    </r>
  </si>
  <si>
    <r>
      <t>conc</t>
    </r>
    <r>
      <rPr>
        <b/>
        <vertAlign val="subscript"/>
        <sz val="12"/>
        <color theme="1"/>
        <rFont val="Arial"/>
        <family val="2"/>
      </rPr>
      <t>vap</t>
    </r>
    <r>
      <rPr>
        <b/>
        <sz val="12"/>
        <color theme="1"/>
        <rFont val="Arial"/>
        <family val="2"/>
      </rPr>
      <t xml:space="preserve"> = </t>
    </r>
  </si>
  <si>
    <r>
      <t>conc</t>
    </r>
    <r>
      <rPr>
        <vertAlign val="subscript"/>
        <sz val="10"/>
        <color theme="1"/>
        <rFont val="Arial"/>
        <family val="2"/>
      </rPr>
      <t>vap</t>
    </r>
    <r>
      <rPr>
        <sz val="10"/>
        <color theme="1"/>
        <rFont val="Arial"/>
        <family val="2"/>
      </rPr>
      <t xml:space="preserve"> = </t>
    </r>
  </si>
  <si>
    <r>
      <t>conc</t>
    </r>
    <r>
      <rPr>
        <vertAlign val="subscript"/>
        <sz val="10"/>
        <color theme="1"/>
        <rFont val="Arial"/>
        <family val="2"/>
      </rPr>
      <t>vap</t>
    </r>
    <r>
      <rPr>
        <sz val="10"/>
        <color theme="1"/>
        <rFont val="Arial"/>
        <family val="2"/>
      </rPr>
      <t xml:space="preserve"> =</t>
    </r>
  </si>
  <si>
    <r>
      <t xml:space="preserve"> x P</t>
    </r>
    <r>
      <rPr>
        <vertAlign val="subscript"/>
        <sz val="10"/>
        <color theme="1"/>
        <rFont val="Arial"/>
        <family val="2"/>
      </rPr>
      <t>VA</t>
    </r>
    <r>
      <rPr>
        <sz val="10"/>
        <color theme="1"/>
        <rFont val="Arial"/>
        <family val="2"/>
      </rPr>
      <t xml:space="preserve"> / (8.3143 x T</t>
    </r>
    <r>
      <rPr>
        <vertAlign val="subscript"/>
        <sz val="10"/>
        <color theme="1"/>
        <rFont val="Arial"/>
        <family val="2"/>
      </rPr>
      <t>LS</t>
    </r>
    <r>
      <rPr>
        <sz val="10"/>
        <color theme="1"/>
        <rFont val="Arial"/>
        <family val="2"/>
      </rPr>
      <t>)</t>
    </r>
  </si>
  <si>
    <r>
      <t>ΔT</t>
    </r>
    <r>
      <rPr>
        <vertAlign val="subscript"/>
        <sz val="10"/>
        <color theme="1"/>
        <rFont val="Arial"/>
        <family val="2"/>
      </rPr>
      <t>A</t>
    </r>
    <r>
      <rPr>
        <sz val="10"/>
        <color theme="1"/>
        <rFont val="Arial"/>
        <family val="2"/>
      </rPr>
      <t xml:space="preserve"> (°C)</t>
    </r>
  </si>
  <si>
    <r>
      <t>ΔT</t>
    </r>
    <r>
      <rPr>
        <b/>
        <vertAlign val="subscript"/>
        <sz val="12"/>
        <color theme="1"/>
        <rFont val="Arial"/>
        <family val="2"/>
      </rPr>
      <t>v</t>
    </r>
    <r>
      <rPr>
        <b/>
        <sz val="12"/>
        <color theme="1"/>
        <rFont val="Arial"/>
        <family val="2"/>
      </rPr>
      <t xml:space="preserve"> = </t>
    </r>
  </si>
  <si>
    <r>
      <t>ΔT</t>
    </r>
    <r>
      <rPr>
        <vertAlign val="subscript"/>
        <sz val="10"/>
        <color theme="1"/>
        <rFont val="Arial"/>
        <family val="2"/>
      </rPr>
      <t>v</t>
    </r>
    <r>
      <rPr>
        <sz val="10"/>
        <color theme="1"/>
        <rFont val="Arial"/>
        <family val="2"/>
      </rPr>
      <t xml:space="preserve"> = </t>
    </r>
  </si>
  <si>
    <r>
      <t>T</t>
    </r>
    <r>
      <rPr>
        <b/>
        <vertAlign val="subscript"/>
        <sz val="12"/>
        <color theme="1"/>
        <rFont val="Arial"/>
        <family val="2"/>
      </rPr>
      <t>Lmax</t>
    </r>
    <r>
      <rPr>
        <b/>
        <sz val="12"/>
        <color theme="1"/>
        <rFont val="Arial"/>
        <family val="2"/>
      </rPr>
      <t xml:space="preserve"> = T</t>
    </r>
    <r>
      <rPr>
        <b/>
        <vertAlign val="subscript"/>
        <sz val="12"/>
        <color theme="1"/>
        <rFont val="Arial"/>
        <family val="2"/>
      </rPr>
      <t>LS</t>
    </r>
    <r>
      <rPr>
        <b/>
        <sz val="12"/>
        <color theme="1"/>
        <rFont val="Arial"/>
        <family val="2"/>
      </rPr>
      <t xml:space="preserve"> + 0.25 x ΔT</t>
    </r>
    <r>
      <rPr>
        <b/>
        <vertAlign val="subscript"/>
        <sz val="12"/>
        <color theme="1"/>
        <rFont val="Arial"/>
        <family val="2"/>
      </rPr>
      <t>v</t>
    </r>
  </si>
  <si>
    <r>
      <t>T</t>
    </r>
    <r>
      <rPr>
        <b/>
        <vertAlign val="subscript"/>
        <sz val="12"/>
        <color theme="1"/>
        <rFont val="Arial"/>
        <family val="2"/>
      </rPr>
      <t>Lmin</t>
    </r>
    <r>
      <rPr>
        <b/>
        <sz val="12"/>
        <color theme="1"/>
        <rFont val="Arial"/>
        <family val="2"/>
      </rPr>
      <t xml:space="preserve"> = T</t>
    </r>
    <r>
      <rPr>
        <b/>
        <vertAlign val="subscript"/>
        <sz val="12"/>
        <color theme="1"/>
        <rFont val="Arial"/>
        <family val="2"/>
      </rPr>
      <t>LS</t>
    </r>
    <r>
      <rPr>
        <b/>
        <sz val="12"/>
        <color theme="1"/>
        <rFont val="Arial"/>
        <family val="2"/>
      </rPr>
      <t xml:space="preserve"> - 0.25 x ΔT</t>
    </r>
    <r>
      <rPr>
        <b/>
        <vertAlign val="subscript"/>
        <sz val="12"/>
        <color theme="1"/>
        <rFont val="Arial"/>
        <family val="2"/>
      </rPr>
      <t>v</t>
    </r>
  </si>
  <si>
    <r>
      <t>T</t>
    </r>
    <r>
      <rPr>
        <b/>
        <vertAlign val="subscript"/>
        <sz val="12"/>
        <color theme="1"/>
        <rFont val="Arial"/>
        <family val="2"/>
      </rPr>
      <t>Lmax</t>
    </r>
    <r>
      <rPr>
        <b/>
        <sz val="12"/>
        <color theme="1"/>
        <rFont val="Arial"/>
        <family val="2"/>
      </rPr>
      <t xml:space="preserve"> =</t>
    </r>
  </si>
  <si>
    <r>
      <t>T</t>
    </r>
    <r>
      <rPr>
        <b/>
        <vertAlign val="subscript"/>
        <sz val="12"/>
        <color theme="1"/>
        <rFont val="Arial"/>
        <family val="2"/>
      </rPr>
      <t>Lmin</t>
    </r>
    <r>
      <rPr>
        <b/>
        <sz val="12"/>
        <color theme="1"/>
        <rFont val="Arial"/>
        <family val="2"/>
      </rPr>
      <t xml:space="preserve"> =</t>
    </r>
  </si>
  <si>
    <r>
      <t>ΔP</t>
    </r>
    <r>
      <rPr>
        <b/>
        <vertAlign val="subscript"/>
        <sz val="12"/>
        <color theme="1"/>
        <rFont val="Arial"/>
        <family val="2"/>
      </rPr>
      <t>v</t>
    </r>
    <r>
      <rPr>
        <b/>
        <sz val="12"/>
        <color theme="1"/>
        <rFont val="Arial"/>
        <family val="2"/>
      </rPr>
      <t xml:space="preserve"> = </t>
    </r>
  </si>
  <si>
    <r>
      <t>ΔP</t>
    </r>
    <r>
      <rPr>
        <vertAlign val="subscript"/>
        <sz val="10"/>
        <color theme="1"/>
        <rFont val="Arial"/>
        <family val="2"/>
      </rPr>
      <t>v</t>
    </r>
    <r>
      <rPr>
        <sz val="10"/>
        <color theme="1"/>
        <rFont val="Arial"/>
        <family val="2"/>
      </rPr>
      <t xml:space="preserve"> = </t>
    </r>
  </si>
  <si>
    <r>
      <t>(T</t>
    </r>
    <r>
      <rPr>
        <vertAlign val="subscript"/>
        <sz val="8"/>
        <color theme="1"/>
        <rFont val="Arial"/>
        <family val="2"/>
      </rPr>
      <t>LS</t>
    </r>
    <r>
      <rPr>
        <sz val="8"/>
        <color theme="1"/>
        <rFont val="Arial"/>
        <family val="2"/>
      </rPr>
      <t xml:space="preserve"> is converted to °C for the P</t>
    </r>
    <r>
      <rPr>
        <vertAlign val="subscript"/>
        <sz val="8"/>
        <color theme="1"/>
        <rFont val="Arial"/>
        <family val="2"/>
      </rPr>
      <t>V</t>
    </r>
    <r>
      <rPr>
        <sz val="8"/>
        <color theme="1"/>
        <rFont val="Arial"/>
        <family val="2"/>
      </rPr>
      <t xml:space="preserve"> calculations)</t>
    </r>
  </si>
  <si>
    <r>
      <t>ΔP</t>
    </r>
    <r>
      <rPr>
        <vertAlign val="subscript"/>
        <sz val="10"/>
        <color theme="1"/>
        <rFont val="Arial"/>
        <family val="2"/>
      </rPr>
      <t>s</t>
    </r>
    <r>
      <rPr>
        <sz val="10"/>
        <color theme="1"/>
        <rFont val="Arial"/>
        <family val="2"/>
      </rPr>
      <t xml:space="preserve"> (kPa)</t>
    </r>
  </si>
  <si>
    <r>
      <t>P</t>
    </r>
    <r>
      <rPr>
        <vertAlign val="subscript"/>
        <sz val="10"/>
        <color theme="1"/>
        <rFont val="Arial"/>
        <family val="2"/>
      </rPr>
      <t>A</t>
    </r>
    <r>
      <rPr>
        <sz val="10"/>
        <color theme="1"/>
        <rFont val="Arial"/>
        <family val="2"/>
      </rPr>
      <t xml:space="preserve"> (kPa)</t>
    </r>
  </si>
  <si>
    <r>
      <t>K</t>
    </r>
    <r>
      <rPr>
        <b/>
        <vertAlign val="subscript"/>
        <sz val="12"/>
        <color theme="1"/>
        <rFont val="Arial"/>
        <family val="2"/>
      </rPr>
      <t>E</t>
    </r>
    <r>
      <rPr>
        <b/>
        <sz val="12"/>
        <color theme="1"/>
        <rFont val="Arial"/>
        <family val="2"/>
      </rPr>
      <t xml:space="preserve"> = </t>
    </r>
  </si>
  <si>
    <r>
      <t>K</t>
    </r>
    <r>
      <rPr>
        <vertAlign val="subscript"/>
        <sz val="10"/>
        <color theme="1"/>
        <rFont val="Arial"/>
        <family val="2"/>
      </rPr>
      <t>E</t>
    </r>
    <r>
      <rPr>
        <sz val="10"/>
        <color theme="1"/>
        <rFont val="Arial"/>
        <family val="2"/>
      </rPr>
      <t xml:space="preserve"> = </t>
    </r>
  </si>
  <si>
    <t>Template</t>
  </si>
  <si>
    <r>
      <t>P</t>
    </r>
    <r>
      <rPr>
        <vertAlign val="subscript"/>
        <sz val="10"/>
        <color theme="1"/>
        <rFont val="Arial"/>
        <family val="2"/>
      </rPr>
      <t>VA</t>
    </r>
    <r>
      <rPr>
        <sz val="10"/>
        <color theme="1"/>
        <rFont val="Arial"/>
        <family val="2"/>
      </rPr>
      <t xml:space="preserve"> (kPa)</t>
    </r>
  </si>
  <si>
    <r>
      <t>h</t>
    </r>
    <r>
      <rPr>
        <vertAlign val="subscript"/>
        <sz val="10"/>
        <color theme="1"/>
        <rFont val="Arial"/>
        <family val="2"/>
      </rPr>
      <t>v</t>
    </r>
    <r>
      <rPr>
        <sz val="10"/>
        <color theme="1"/>
        <rFont val="Arial"/>
        <family val="2"/>
      </rPr>
      <t xml:space="preserve"> (m)</t>
    </r>
  </si>
  <si>
    <r>
      <t>K</t>
    </r>
    <r>
      <rPr>
        <vertAlign val="subscript"/>
        <sz val="10"/>
        <color theme="1"/>
        <rFont val="Arial"/>
        <family val="2"/>
      </rPr>
      <t>s</t>
    </r>
    <r>
      <rPr>
        <sz val="10"/>
        <color theme="1"/>
        <rFont val="Arial"/>
        <family val="2"/>
      </rPr>
      <t xml:space="preserve"> = </t>
    </r>
  </si>
  <si>
    <r>
      <t>K</t>
    </r>
    <r>
      <rPr>
        <b/>
        <vertAlign val="subscript"/>
        <sz val="12"/>
        <color theme="1"/>
        <rFont val="Arial"/>
        <family val="2"/>
      </rPr>
      <t>s</t>
    </r>
    <r>
      <rPr>
        <b/>
        <sz val="12"/>
        <color theme="1"/>
        <rFont val="Arial"/>
        <family val="2"/>
      </rPr>
      <t xml:space="preserve"> = </t>
    </r>
  </si>
  <si>
    <r>
      <t>B</t>
    </r>
    <r>
      <rPr>
        <vertAlign val="subscript"/>
        <sz val="10"/>
        <color theme="1"/>
        <rFont val="Arial"/>
        <family val="2"/>
      </rPr>
      <t>l</t>
    </r>
    <r>
      <rPr>
        <sz val="10"/>
        <color theme="1"/>
        <rFont val="Arial"/>
        <family val="2"/>
      </rPr>
      <t xml:space="preserve"> =</t>
    </r>
  </si>
  <si>
    <t>(no sunlight factor for inside tanks, so l = 0)</t>
  </si>
  <si>
    <t>= Values/text must be entered here</t>
  </si>
  <si>
    <r>
      <t>B</t>
    </r>
    <r>
      <rPr>
        <b/>
        <vertAlign val="subscript"/>
        <sz val="12"/>
        <color theme="1"/>
        <rFont val="Arial"/>
        <family val="2"/>
      </rPr>
      <t>l</t>
    </r>
    <r>
      <rPr>
        <b/>
        <sz val="12"/>
        <color theme="1"/>
        <rFont val="Arial"/>
        <family val="2"/>
      </rPr>
      <t xml:space="preserve"> =</t>
    </r>
  </si>
  <si>
    <t>= value does not seem feasible for this term - consider revising</t>
  </si>
  <si>
    <t>Determined from the tank dimensions (remember to subtract the tank shell thickness if this is quoted in the tank radii/diameter measurements)</t>
  </si>
  <si>
    <t>P = 10^[A-(B/(C+T))]</t>
  </si>
  <si>
    <r>
      <t>The solar radiation incidence (</t>
    </r>
    <r>
      <rPr>
        <b/>
        <i/>
        <sz val="10"/>
        <color theme="1"/>
        <rFont val="Arial"/>
        <family val="2"/>
      </rPr>
      <t>887 Jcm</t>
    </r>
    <r>
      <rPr>
        <b/>
        <i/>
        <vertAlign val="superscript"/>
        <sz val="10"/>
        <color theme="1"/>
        <rFont val="Arial"/>
        <family val="2"/>
      </rPr>
      <t>-2</t>
    </r>
    <r>
      <rPr>
        <b/>
        <i/>
        <sz val="10"/>
        <color theme="1"/>
        <rFont val="Arial"/>
        <family val="2"/>
      </rPr>
      <t>d</t>
    </r>
    <r>
      <rPr>
        <b/>
        <i/>
        <vertAlign val="superscript"/>
        <sz val="10"/>
        <color theme="1"/>
        <rFont val="Arial"/>
        <family val="2"/>
      </rPr>
      <t>-1</t>
    </r>
    <r>
      <rPr>
        <b/>
        <i/>
        <sz val="10"/>
        <color theme="1"/>
        <rFont val="Arial"/>
        <family val="2"/>
      </rPr>
      <t xml:space="preserve">, or 0 </t>
    </r>
    <r>
      <rPr>
        <i/>
        <sz val="10"/>
        <color theme="1"/>
        <rFont val="Arial"/>
        <family val="2"/>
      </rPr>
      <t>for indoor tanks)</t>
    </r>
  </si>
  <si>
    <t>Tanks 6-7 (per tank)</t>
  </si>
  <si>
    <t>Antoine constants</t>
  </si>
  <si>
    <r>
      <t>(Type 'r' into the box, not 'r</t>
    </r>
    <r>
      <rPr>
        <vertAlign val="superscript"/>
        <sz val="8"/>
        <color theme="1"/>
        <rFont val="Arial"/>
        <family val="2"/>
      </rPr>
      <t>2</t>
    </r>
    <r>
      <rPr>
        <sz val="8"/>
        <color theme="1"/>
        <rFont val="Arial"/>
        <family val="2"/>
      </rPr>
      <t>')</t>
    </r>
  </si>
  <si>
    <t>Solvent Tanks 1-2 (per tank)</t>
  </si>
  <si>
    <r>
      <t>The solar radiation incidence (</t>
    </r>
    <r>
      <rPr>
        <b/>
        <i/>
        <sz val="10"/>
        <color theme="1"/>
        <rFont val="Arial"/>
        <family val="2"/>
      </rPr>
      <t>887 Jcm</t>
    </r>
    <r>
      <rPr>
        <b/>
        <i/>
        <vertAlign val="superscript"/>
        <sz val="10"/>
        <color theme="1"/>
        <rFont val="Arial"/>
        <family val="2"/>
      </rPr>
      <t>-2</t>
    </r>
    <r>
      <rPr>
        <b/>
        <i/>
        <sz val="10"/>
        <color theme="1"/>
        <rFont val="Arial"/>
        <family val="2"/>
      </rPr>
      <t>d</t>
    </r>
    <r>
      <rPr>
        <b/>
        <i/>
        <vertAlign val="superscript"/>
        <sz val="10"/>
        <color theme="1"/>
        <rFont val="Arial"/>
        <family val="2"/>
      </rPr>
      <t>-1</t>
    </r>
    <r>
      <rPr>
        <b/>
        <i/>
        <sz val="10"/>
        <color theme="1"/>
        <rFont val="Arial"/>
        <family val="2"/>
      </rPr>
      <t xml:space="preserve">, or 0 </t>
    </r>
    <r>
      <rPr>
        <i/>
        <sz val="10"/>
        <color theme="1"/>
        <rFont val="Arial"/>
        <family val="2"/>
      </rPr>
      <t>for indoor/insulated tanks)</t>
    </r>
  </si>
  <si>
    <t>Solar radiation incidence = 0 for indoor/underground tanks</t>
  </si>
  <si>
    <t>Solar absorbance = 0 for indoor tanks</t>
  </si>
  <si>
    <t>[Exact values for SQUO-M are not given in A5.1, these have been predicted. SHELT-M values have been taken from the product specification supplied by Shell].</t>
  </si>
  <si>
    <r>
      <t>Total Breathing Losses (kgy</t>
    </r>
    <r>
      <rPr>
        <b/>
        <vertAlign val="superscript"/>
        <sz val="14"/>
        <color theme="1"/>
        <rFont val="Arial"/>
        <family val="2"/>
      </rPr>
      <t>-1</t>
    </r>
    <r>
      <rPr>
        <b/>
        <sz val="14"/>
        <color theme="1"/>
        <rFont val="Arial"/>
        <family val="2"/>
      </rPr>
      <t>)</t>
    </r>
  </si>
  <si>
    <t>kg</t>
  </si>
  <si>
    <t>=</t>
  </si>
  <si>
    <t>Total volumetric flow rate:</t>
  </si>
  <si>
    <r>
      <t>m</t>
    </r>
    <r>
      <rPr>
        <b/>
        <vertAlign val="superscript"/>
        <sz val="12"/>
        <color theme="1"/>
        <rFont val="Arial"/>
        <family val="2"/>
      </rPr>
      <t>3</t>
    </r>
    <r>
      <rPr>
        <b/>
        <sz val="12"/>
        <color theme="1"/>
        <rFont val="Arial"/>
        <family val="2"/>
      </rPr>
      <t>/s</t>
    </r>
  </si>
  <si>
    <r>
      <t>m</t>
    </r>
    <r>
      <rPr>
        <b/>
        <vertAlign val="superscript"/>
        <sz val="12"/>
        <color theme="1"/>
        <rFont val="Arial"/>
        <family val="2"/>
      </rPr>
      <t>3</t>
    </r>
    <r>
      <rPr>
        <b/>
        <sz val="12"/>
        <color theme="1"/>
        <rFont val="Arial"/>
        <family val="2"/>
      </rPr>
      <t>/d</t>
    </r>
  </si>
  <si>
    <r>
      <t>m</t>
    </r>
    <r>
      <rPr>
        <b/>
        <vertAlign val="superscript"/>
        <sz val="12"/>
        <color theme="1"/>
        <rFont val="Arial"/>
        <family val="2"/>
      </rPr>
      <t>3</t>
    </r>
    <r>
      <rPr>
        <b/>
        <sz val="12"/>
        <color theme="1"/>
        <rFont val="Arial"/>
        <family val="2"/>
      </rPr>
      <t>/y</t>
    </r>
  </si>
  <si>
    <r>
      <t>mg/m</t>
    </r>
    <r>
      <rPr>
        <vertAlign val="superscript"/>
        <sz val="12"/>
        <color theme="1"/>
        <rFont val="Arial"/>
        <family val="2"/>
      </rPr>
      <t>3</t>
    </r>
  </si>
  <si>
    <t>Concentration VOCs (1):</t>
  </si>
  <si>
    <t>Concentration VOCs (2):</t>
  </si>
  <si>
    <t>Total VOCs per day (1):</t>
  </si>
  <si>
    <t>mg/d</t>
  </si>
  <si>
    <t>Total VOCs per day (2):</t>
  </si>
  <si>
    <t>Daily tonnage (1):</t>
  </si>
  <si>
    <t>Daily tonnage (2):</t>
  </si>
  <si>
    <t>kg/d</t>
  </si>
  <si>
    <t>kg/kg</t>
  </si>
  <si>
    <t>Total annual VOC emissions:</t>
  </si>
  <si>
    <t>(1)</t>
  </si>
  <si>
    <t>data from 25th May '17</t>
  </si>
  <si>
    <t>(2)</t>
  </si>
  <si>
    <t>data from 3rd November '17</t>
  </si>
  <si>
    <r>
      <t>mg/m</t>
    </r>
    <r>
      <rPr>
        <b/>
        <vertAlign val="superscript"/>
        <sz val="12"/>
        <color theme="1"/>
        <rFont val="Arial"/>
        <family val="2"/>
      </rPr>
      <t>3</t>
    </r>
  </si>
  <si>
    <t>Total VOCs per kilo (1):</t>
  </si>
  <si>
    <t>Total annual output:</t>
  </si>
  <si>
    <t>Total VOCs per kilo (2):</t>
  </si>
  <si>
    <t>Total VOCs per kilo (average):</t>
  </si>
  <si>
    <t>Mixer - Bulk Tank:</t>
  </si>
  <si>
    <t>Total time:</t>
  </si>
  <si>
    <t>mins/y</t>
  </si>
  <si>
    <t>Volumetric flow rate (SLC):</t>
  </si>
  <si>
    <t>Volumetric flow rate (West):</t>
  </si>
  <si>
    <t>Volumetric flow rate (East):</t>
  </si>
  <si>
    <t>Volumetric flow rate:</t>
  </si>
  <si>
    <t>r (m)</t>
  </si>
  <si>
    <t>pi</t>
  </si>
  <si>
    <t>Linear flow rate (m/s)</t>
  </si>
  <si>
    <t>Concentration VOCs:</t>
  </si>
  <si>
    <t>s/y</t>
  </si>
  <si>
    <t>Total volume per year</t>
  </si>
  <si>
    <r>
      <t>m</t>
    </r>
    <r>
      <rPr>
        <vertAlign val="superscript"/>
        <sz val="12"/>
        <color theme="1"/>
        <rFont val="Arial"/>
        <family val="2"/>
      </rPr>
      <t>3</t>
    </r>
    <r>
      <rPr>
        <sz val="12"/>
        <color theme="1"/>
        <rFont val="Arial"/>
        <family val="2"/>
      </rPr>
      <t>/y</t>
    </r>
  </si>
  <si>
    <t>kg/y</t>
  </si>
  <si>
    <t>Total Mixer - BT  VOC emissions:</t>
  </si>
  <si>
    <t>Homogenisers:</t>
  </si>
  <si>
    <t>Charging Mixers:</t>
  </si>
  <si>
    <t xml:space="preserve">Total VOCs from Conservation Vents = </t>
  </si>
  <si>
    <t xml:space="preserve">O1.4 </t>
  </si>
  <si>
    <t>Breathing Losses</t>
  </si>
  <si>
    <t xml:space="preserve">Total Breathing Losses = </t>
  </si>
  <si>
    <t>Total Charging Mixers  VOC emissions:</t>
  </si>
  <si>
    <t>Total Homogeniser  VOC emissions:</t>
  </si>
  <si>
    <r>
      <t>m</t>
    </r>
    <r>
      <rPr>
        <vertAlign val="superscript"/>
        <sz val="10"/>
        <color theme="1"/>
        <rFont val="Arial"/>
        <family val="2"/>
      </rPr>
      <t>3</t>
    </r>
    <r>
      <rPr>
        <sz val="10"/>
        <color theme="1"/>
        <rFont val="Arial"/>
        <family val="2"/>
      </rPr>
      <t>/s</t>
    </r>
  </si>
  <si>
    <t xml:space="preserve">O1.1 &amp; O1.3 </t>
  </si>
  <si>
    <t>Powered Vents &amp; General Extraction</t>
  </si>
  <si>
    <t>O1.2 Conservation Vents (Non-Powered Vents)</t>
  </si>
  <si>
    <t>= Value does not seem feasible for this term - consider revising</t>
  </si>
  <si>
    <t>1st collection:</t>
  </si>
  <si>
    <t>27 x 205 L drum</t>
  </si>
  <si>
    <t>SLC</t>
  </si>
  <si>
    <t>8 x 205 L drum</t>
  </si>
  <si>
    <t>27 x 172 kg</t>
  </si>
  <si>
    <t>waste solvent</t>
  </si>
  <si>
    <t>2nd collection:</t>
  </si>
  <si>
    <t>3rd collection:</t>
  </si>
  <si>
    <t>3 x 205 L drum</t>
  </si>
  <si>
    <t>4 x 205 L drum</t>
  </si>
  <si>
    <t>14 x 205 L drum</t>
  </si>
  <si>
    <t xml:space="preserve">Annual solvent-containing waste: </t>
  </si>
  <si>
    <t>Waste gallon cans:</t>
  </si>
  <si>
    <t>cans per crate</t>
  </si>
  <si>
    <t xml:space="preserve"> full crates per year</t>
  </si>
  <si>
    <t>Waste gallon can total:</t>
  </si>
  <si>
    <t>g compound per can (max)</t>
  </si>
  <si>
    <t>g</t>
  </si>
  <si>
    <t xml:space="preserve">Total solvent-containing waste: </t>
  </si>
  <si>
    <t>O6.1 &amp; 6.2</t>
  </si>
  <si>
    <t>Solvent-Containing Waste &amp; Residual Solvent</t>
  </si>
  <si>
    <t>T</t>
  </si>
  <si>
    <t>Total bought-in VOC-containing goods:</t>
  </si>
  <si>
    <t>PYT-M/JOKUL-M</t>
  </si>
  <si>
    <t>I1.1 Bought-in Solvents/Resins/Other</t>
  </si>
  <si>
    <t>BURUT-M / CASTIN-M / INCRO-M</t>
  </si>
  <si>
    <t>Total:</t>
  </si>
  <si>
    <t>I1.1</t>
  </si>
  <si>
    <t>I1.2</t>
  </si>
  <si>
    <t>I1.3</t>
  </si>
  <si>
    <t>I2.1</t>
  </si>
  <si>
    <t>I2.2</t>
  </si>
  <si>
    <t>O1.1</t>
  </si>
  <si>
    <t>O1.2</t>
  </si>
  <si>
    <t>O1.3</t>
  </si>
  <si>
    <t>O1.4</t>
  </si>
  <si>
    <t>O1.5</t>
  </si>
  <si>
    <t>O2.1</t>
  </si>
  <si>
    <t>O4.1</t>
  </si>
  <si>
    <t>O4.2</t>
  </si>
  <si>
    <t>O4.3</t>
  </si>
  <si>
    <t>O6.1</t>
  </si>
  <si>
    <t>O6.2</t>
  </si>
  <si>
    <t>O9.1</t>
  </si>
  <si>
    <t>Bought-in "new" solvents</t>
  </si>
  <si>
    <t>Solvent in bought-in resins</t>
  </si>
  <si>
    <t>Bought-in recovered solvent</t>
  </si>
  <si>
    <t>On-site recovered solvent</t>
  </si>
  <si>
    <t>General extraction and building ventilation systems</t>
  </si>
  <si>
    <t>Abatement plant discharges</t>
  </si>
  <si>
    <t>Outside emptied drum storage</t>
  </si>
  <si>
    <t>Outside container crushing plant</t>
  </si>
  <si>
    <t>I/O Code</t>
  </si>
  <si>
    <t>Solvent in other bought-in materials</t>
  </si>
  <si>
    <t>Total inputs</t>
  </si>
  <si>
    <t>Powered vents</t>
  </si>
  <si>
    <t>Non-powered process vessel vents</t>
  </si>
  <si>
    <t>Bulk storage vessel breather vents</t>
  </si>
  <si>
    <t>Solvents in final discharges to controlled water sewers and drains</t>
  </si>
  <si>
    <t>Natural ventilation of buildings</t>
  </si>
  <si>
    <t>Solvent released in other ways</t>
  </si>
  <si>
    <t>Activity</t>
  </si>
  <si>
    <t>Solvent input (T)</t>
  </si>
  <si>
    <t>VOC emission (T)</t>
  </si>
  <si>
    <t>VOC emission (% input)</t>
  </si>
  <si>
    <t>N/A</t>
  </si>
  <si>
    <t>(included in O1.1)</t>
  </si>
  <si>
    <t>Total emissions</t>
  </si>
  <si>
    <t>(included in O6.1)</t>
  </si>
  <si>
    <t>Solvent-containing waste sent for final disposal</t>
  </si>
  <si>
    <t>Residual solvent in emptied containers</t>
  </si>
  <si>
    <t>max VOC content is 0.41%</t>
  </si>
  <si>
    <t>max VOC content is 300 mg/kg</t>
  </si>
  <si>
    <t>total amount of rubbers is</t>
  </si>
  <si>
    <t>total amount of resin is</t>
  </si>
  <si>
    <t>Executive Summary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</si>
</sst>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9" x14ac:knownFonts="1">
    <font>
      <sz val="12"/>
      <color theme="1"/>
      <name val="Arial"/>
      <family val="2"/>
    </font>
    <font>
      <b/>
      <sz val="12"/>
      <color theme="1"/>
      <name val="Arial"/>
      <family val="2"/>
    </font>
    <font>
      <vertAlign val="subscript"/>
      <sz val="12"/>
      <color theme="1"/>
      <name val="Arial"/>
      <family val="2"/>
    </font>
    <font>
      <b/>
      <vertAlign val="superscript"/>
      <sz val="12"/>
      <color theme="1"/>
      <name val="Arial"/>
      <family val="2"/>
    </font>
    <font>
      <b/>
      <vertAlign val="subscript"/>
      <sz val="12"/>
      <color theme="1"/>
      <name val="Arial"/>
      <family val="2"/>
    </font>
    <font>
      <b/>
      <u/>
      <sz val="14"/>
      <color theme="1"/>
      <name val="Arial"/>
      <family val="2"/>
    </font>
    <font>
      <b/>
      <u/>
      <sz val="20"/>
      <color theme="1"/>
      <name val="Arial"/>
      <family val="2"/>
    </font>
    <font>
      <b/>
      <sz val="18"/>
      <color theme="1"/>
      <name val="Arial"/>
      <family val="2"/>
    </font>
    <font>
      <sz val="16"/>
      <color theme="1"/>
      <name val="Arial"/>
      <family val="2"/>
    </font>
    <font>
      <sz val="14"/>
      <color theme="1"/>
      <name val="Arial"/>
      <family val="2"/>
    </font>
    <font>
      <b/>
      <sz val="14"/>
      <color theme="1"/>
      <name val="Arial"/>
      <family val="2"/>
    </font>
    <font>
      <b/>
      <vertAlign val="subscript"/>
      <sz val="14"/>
      <color theme="1"/>
      <name val="Arial"/>
      <family val="2"/>
    </font>
    <font>
      <b/>
      <vertAlign val="superscript"/>
      <sz val="14"/>
      <color theme="1"/>
      <name val="Arial"/>
      <family val="2"/>
    </font>
    <font>
      <sz val="11"/>
      <color theme="1"/>
      <name val="Arial"/>
      <family val="2"/>
    </font>
    <font>
      <b/>
      <u/>
      <sz val="10"/>
      <color theme="1"/>
      <name val="Arial"/>
      <family val="2"/>
    </font>
    <font>
      <sz val="10"/>
      <color theme="1"/>
      <name val="Arial"/>
      <family val="2"/>
    </font>
    <font>
      <b/>
      <sz val="10"/>
      <color theme="1"/>
      <name val="Arial"/>
      <family val="2"/>
    </font>
    <font>
      <b/>
      <vertAlign val="subscript"/>
      <sz val="10"/>
      <color theme="1"/>
      <name val="Arial"/>
      <family val="2"/>
    </font>
    <font>
      <b/>
      <vertAlign val="superscript"/>
      <sz val="10"/>
      <color theme="1"/>
      <name val="Arial"/>
      <family val="2"/>
    </font>
    <font>
      <sz val="9.5"/>
      <color theme="1"/>
      <name val="Arial"/>
      <family val="2"/>
    </font>
    <font>
      <b/>
      <sz val="26"/>
      <color theme="1"/>
      <name val="Arial"/>
      <family val="2"/>
    </font>
    <font>
      <vertAlign val="superscript"/>
      <sz val="10"/>
      <color theme="1"/>
      <name val="Arial"/>
      <family val="2"/>
    </font>
    <font>
      <i/>
      <sz val="10"/>
      <color theme="1"/>
      <name val="Arial"/>
      <family val="2"/>
    </font>
    <font>
      <i/>
      <vertAlign val="superscript"/>
      <sz val="10"/>
      <color theme="1"/>
      <name val="Arial"/>
      <family val="2"/>
    </font>
    <font>
      <vertAlign val="subscript"/>
      <sz val="10"/>
      <color theme="1"/>
      <name val="Arial"/>
      <family val="2"/>
    </font>
    <font>
      <i/>
      <vertAlign val="subscript"/>
      <sz val="10"/>
      <color theme="1"/>
      <name val="Arial"/>
      <family val="2"/>
    </font>
    <font>
      <b/>
      <i/>
      <sz val="14"/>
      <color theme="1"/>
      <name val="Arial"/>
      <family val="2"/>
    </font>
    <font>
      <b/>
      <i/>
      <sz val="10"/>
      <color theme="1"/>
      <name val="Arial"/>
      <family val="2"/>
    </font>
    <font>
      <b/>
      <i/>
      <vertAlign val="superscript"/>
      <sz val="10"/>
      <color theme="1"/>
      <name val="Arial"/>
      <family val="2"/>
    </font>
    <font>
      <sz val="20"/>
      <color theme="1"/>
      <name val="Arial"/>
      <family val="2"/>
    </font>
    <font>
      <sz val="8"/>
      <color theme="1"/>
      <name val="Arial"/>
      <family val="2"/>
    </font>
    <font>
      <vertAlign val="subscript"/>
      <sz val="8"/>
      <color theme="1"/>
      <name val="Arial"/>
      <family val="2"/>
    </font>
    <font>
      <vertAlign val="superscript"/>
      <sz val="8"/>
      <color theme="1"/>
      <name val="Arial"/>
      <family val="2"/>
    </font>
    <font>
      <b/>
      <sz val="20"/>
      <color theme="1"/>
      <name val="Arial"/>
      <family val="2"/>
    </font>
    <font>
      <b/>
      <u/>
      <sz val="12"/>
      <color theme="1"/>
      <name val="Arial"/>
      <family val="2"/>
    </font>
    <font>
      <b/>
      <u/>
      <sz val="22"/>
      <color theme="1"/>
      <name val="Arial"/>
      <family val="2"/>
    </font>
    <font>
      <vertAlign val="superscript"/>
      <sz val="12"/>
      <color theme="1"/>
      <name val="Arial"/>
      <family val="2"/>
    </font>
    <font>
      <sz val="9"/>
      <color theme="1"/>
      <name val="Arial"/>
      <family val="2"/>
    </font>
    <font>
      <b/>
      <sz val="16"/>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
      <patternFill patternType="lightUp"/>
    </fill>
    <fill>
      <patternFill patternType="solid">
        <fgColor indexed="65"/>
        <bgColor indexed="64"/>
      </patternFill>
    </fill>
    <fill>
      <patternFill patternType="solid">
        <fgColor rgb="FFFFFF00"/>
        <bgColor rgb="FFFF0000"/>
      </patternFill>
    </fill>
  </fills>
  <borders count="3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mediumDashed">
        <color auto="1"/>
      </left>
      <right/>
      <top/>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mediumDashed">
        <color auto="1"/>
      </right>
      <top/>
      <bottom style="thick">
        <color auto="1"/>
      </bottom>
      <diagonal/>
    </border>
    <border>
      <left/>
      <right style="mediumDashed">
        <color auto="1"/>
      </right>
      <top/>
      <bottom/>
      <diagonal/>
    </border>
    <border>
      <left style="mediumDashed">
        <color auto="1"/>
      </left>
      <right/>
      <top style="thin">
        <color auto="1"/>
      </top>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top/>
      <bottom/>
      <diagonal/>
    </border>
  </borders>
  <cellStyleXfs count="1">
    <xf numFmtId="0" fontId="0"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1" fillId="0" borderId="2"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6" fillId="3" borderId="2"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0" xfId="0" applyFont="1" applyAlignment="1">
      <alignment vertical="center" wrapText="1"/>
    </xf>
    <xf numFmtId="0" fontId="14" fillId="0" borderId="0" xfId="0" applyFont="1" applyAlignment="1">
      <alignment vertical="center" wrapText="1"/>
    </xf>
    <xf numFmtId="0" fontId="0" fillId="0" borderId="0" xfId="0"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49" fontId="29" fillId="0" borderId="0" xfId="0" applyNumberFormat="1" applyFont="1" applyAlignment="1">
      <alignment vertical="center"/>
    </xf>
    <xf numFmtId="0" fontId="16" fillId="2" borderId="2" xfId="0" applyFont="1" applyFill="1" applyBorder="1" applyAlignment="1">
      <alignment horizontal="center" vertical="center"/>
    </xf>
    <xf numFmtId="0" fontId="16"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2" fillId="2" borderId="3" xfId="0" applyFont="1" applyFill="1" applyBorder="1" applyAlignment="1">
      <alignment horizontal="left" vertical="center"/>
    </xf>
    <xf numFmtId="0" fontId="15" fillId="2" borderId="1" xfId="0" applyFont="1" applyFill="1" applyBorder="1" applyAlignment="1">
      <alignment horizontal="left" vertical="center"/>
    </xf>
    <xf numFmtId="0" fontId="15" fillId="0" borderId="0" xfId="0" applyFont="1" applyAlignment="1">
      <alignment horizontal="left" vertical="center"/>
    </xf>
    <xf numFmtId="0" fontId="0" fillId="0" borderId="16"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0" fillId="0" borderId="23" xfId="0" applyBorder="1" applyAlignment="1">
      <alignment vertical="center"/>
    </xf>
    <xf numFmtId="0" fontId="0" fillId="0" borderId="23" xfId="0" applyBorder="1"/>
    <xf numFmtId="0" fontId="0" fillId="0" borderId="24" xfId="0" applyBorder="1" applyAlignment="1">
      <alignment vertical="center"/>
    </xf>
    <xf numFmtId="0" fontId="0" fillId="0" borderId="25" xfId="0" applyBorder="1" applyAlignment="1">
      <alignment vertical="center"/>
    </xf>
    <xf numFmtId="0" fontId="16" fillId="0" borderId="23" xfId="0" applyFont="1" applyBorder="1" applyAlignment="1">
      <alignment horizontal="center" vertical="center"/>
    </xf>
    <xf numFmtId="0" fontId="15" fillId="0" borderId="23" xfId="0" applyFont="1" applyBorder="1" applyAlignment="1">
      <alignment vertical="center"/>
    </xf>
    <xf numFmtId="0" fontId="15" fillId="0" borderId="23" xfId="0" applyFont="1" applyBorder="1" applyAlignment="1">
      <alignment horizontal="center" vertical="center" wrapText="1"/>
    </xf>
    <xf numFmtId="0" fontId="0" fillId="0" borderId="27" xfId="0" applyBorder="1"/>
    <xf numFmtId="0" fontId="0" fillId="0" borderId="26" xfId="0" applyBorder="1"/>
    <xf numFmtId="0" fontId="0" fillId="0" borderId="1" xfId="0" applyBorder="1" applyAlignment="1">
      <alignment vertical="center"/>
    </xf>
    <xf numFmtId="0" fontId="1" fillId="0" borderId="22" xfId="0" applyFont="1" applyBorder="1" applyAlignment="1">
      <alignment horizontal="right" vertical="center"/>
    </xf>
    <xf numFmtId="0" fontId="1" fillId="0" borderId="0" xfId="0" applyNumberFormat="1" applyFont="1" applyAlignment="1">
      <alignment horizontal="center" vertical="center"/>
    </xf>
    <xf numFmtId="0" fontId="15" fillId="0" borderId="22" xfId="0" applyFont="1" applyBorder="1" applyAlignment="1">
      <alignment horizontal="right" vertical="center"/>
    </xf>
    <xf numFmtId="0" fontId="15" fillId="0" borderId="22" xfId="0" applyFont="1" applyBorder="1" applyAlignment="1">
      <alignment vertical="center"/>
    </xf>
    <xf numFmtId="0" fontId="0" fillId="0" borderId="27" xfId="0" applyBorder="1" applyAlignment="1">
      <alignment vertical="center"/>
    </xf>
    <xf numFmtId="0" fontId="30" fillId="0" borderId="0" xfId="0" applyFont="1" applyAlignment="1">
      <alignment vertical="top" wrapText="1"/>
    </xf>
    <xf numFmtId="0" fontId="15" fillId="0" borderId="0" xfId="0" applyFont="1" applyAlignment="1">
      <alignment horizontal="right"/>
    </xf>
    <xf numFmtId="0" fontId="1" fillId="0" borderId="0" xfId="0" applyFont="1" applyAlignment="1">
      <alignment horizontal="right"/>
    </xf>
    <xf numFmtId="0" fontId="15" fillId="0" borderId="28" xfId="0" applyFont="1" applyBorder="1" applyAlignment="1">
      <alignment horizontal="right" vertical="center"/>
    </xf>
    <xf numFmtId="0" fontId="15" fillId="0" borderId="5" xfId="0" applyFont="1" applyBorder="1" applyAlignment="1">
      <alignment horizontal="center" vertical="center"/>
    </xf>
    <xf numFmtId="0" fontId="15" fillId="4" borderId="2" xfId="0" applyNumberFormat="1" applyFont="1" applyFill="1" applyBorder="1" applyAlignment="1">
      <alignment horizontal="center" vertical="center"/>
    </xf>
    <xf numFmtId="0" fontId="15" fillId="4" borderId="2" xfId="0" applyFont="1" applyFill="1" applyBorder="1" applyAlignment="1">
      <alignment horizontal="center" vertical="center"/>
    </xf>
    <xf numFmtId="0" fontId="0" fillId="4" borderId="2" xfId="0" applyFill="1" applyBorder="1" applyAlignment="1">
      <alignment horizontal="center" vertical="center"/>
    </xf>
    <xf numFmtId="49" fontId="16" fillId="0" borderId="0" xfId="0" applyNumberFormat="1" applyFont="1" applyAlignment="1">
      <alignment horizontal="left" vertical="center" wrapText="1"/>
    </xf>
    <xf numFmtId="0" fontId="16" fillId="4" borderId="2" xfId="0" applyFont="1" applyFill="1" applyBorder="1" applyAlignment="1">
      <alignment horizontal="center" vertical="center"/>
    </xf>
    <xf numFmtId="0" fontId="15" fillId="5" borderId="2" xfId="0" applyFont="1" applyFill="1" applyBorder="1" applyAlignment="1">
      <alignment vertical="center"/>
    </xf>
    <xf numFmtId="0" fontId="8" fillId="0" borderId="0" xfId="0" applyFont="1"/>
    <xf numFmtId="0" fontId="7" fillId="0" borderId="0" xfId="0" applyFont="1"/>
    <xf numFmtId="0" fontId="7" fillId="0" borderId="6" xfId="0" applyFont="1" applyBorder="1" applyAlignment="1">
      <alignment horizontal="center" vertical="center"/>
    </xf>
    <xf numFmtId="0" fontId="7" fillId="0" borderId="30" xfId="0" applyFont="1" applyBorder="1"/>
    <xf numFmtId="0" fontId="7" fillId="0" borderId="31" xfId="0" applyFont="1" applyBorder="1"/>
    <xf numFmtId="0" fontId="7" fillId="0" borderId="6" xfId="0" applyFont="1" applyFill="1" applyBorder="1" applyAlignment="1">
      <alignment horizontal="center" vertical="center"/>
    </xf>
    <xf numFmtId="0" fontId="0" fillId="0" borderId="0" xfId="0"/>
    <xf numFmtId="0" fontId="0" fillId="0" borderId="0" xfId="0"/>
    <xf numFmtId="0" fontId="33" fillId="0" borderId="0" xfId="0" applyFont="1"/>
    <xf numFmtId="0" fontId="1" fillId="0" borderId="0" xfId="0" applyFont="1"/>
    <xf numFmtId="0" fontId="35" fillId="0" borderId="0" xfId="0" applyFont="1"/>
    <xf numFmtId="0" fontId="0" fillId="0" borderId="0" xfId="0" applyAlignment="1">
      <alignment wrapText="1"/>
    </xf>
    <xf numFmtId="0" fontId="1" fillId="0" borderId="0" xfId="0" applyFont="1" applyAlignment="1">
      <alignment wrapText="1"/>
    </xf>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right" wrapText="1"/>
    </xf>
    <xf numFmtId="4" fontId="1" fillId="0" borderId="0" xfId="0" applyNumberFormat="1" applyFont="1"/>
    <xf numFmtId="0" fontId="1" fillId="0" borderId="30" xfId="0" applyFont="1" applyBorder="1"/>
    <xf numFmtId="0" fontId="1" fillId="0" borderId="32" xfId="0" applyFont="1" applyBorder="1"/>
    <xf numFmtId="0" fontId="1" fillId="0" borderId="31" xfId="0" applyFont="1" applyBorder="1"/>
    <xf numFmtId="0" fontId="15" fillId="0" borderId="0" xfId="0" applyFont="1"/>
    <xf numFmtId="0" fontId="37" fillId="0" borderId="0" xfId="0" applyFont="1"/>
    <xf numFmtId="0" fontId="0" fillId="0" borderId="33" xfId="0" applyBorder="1"/>
    <xf numFmtId="0" fontId="0" fillId="0" borderId="0" xfId="0" applyBorder="1"/>
    <xf numFmtId="0" fontId="0" fillId="0" borderId="8" xfId="0" applyBorder="1"/>
    <xf numFmtId="0" fontId="0" fillId="0" borderId="9" xfId="0" applyBorder="1"/>
    <xf numFmtId="0" fontId="0" fillId="0" borderId="34" xfId="0" applyBorder="1"/>
    <xf numFmtId="0" fontId="0" fillId="0" borderId="0" xfId="0" applyBorder="1" applyAlignment="1">
      <alignment horizontal="center"/>
    </xf>
    <xf numFmtId="0" fontId="0" fillId="0" borderId="0" xfId="0" applyBorder="1" applyAlignment="1">
      <alignment wrapText="1"/>
    </xf>
    <xf numFmtId="0" fontId="33" fillId="0" borderId="34" xfId="0" applyFont="1" applyBorder="1"/>
    <xf numFmtId="0" fontId="33" fillId="0" borderId="0" xfId="0" applyFont="1" applyBorder="1"/>
    <xf numFmtId="0" fontId="15" fillId="0" borderId="0" xfId="0" applyFont="1" applyAlignment="1">
      <alignment horizontal="center"/>
    </xf>
    <xf numFmtId="49" fontId="15" fillId="0" borderId="0" xfId="0" applyNumberFormat="1" applyFont="1" applyAlignment="1">
      <alignment horizontal="center"/>
    </xf>
    <xf numFmtId="0" fontId="15" fillId="0" borderId="0" xfId="0" applyFont="1" applyAlignment="1">
      <alignment horizontal="center" wrapText="1"/>
    </xf>
    <xf numFmtId="0" fontId="0" fillId="0" borderId="32" xfId="0" applyBorder="1"/>
    <xf numFmtId="0" fontId="0" fillId="0" borderId="31" xfId="0" applyBorder="1"/>
    <xf numFmtId="0" fontId="1" fillId="0" borderId="31" xfId="0" applyFont="1" applyBorder="1" applyAlignment="1"/>
    <xf numFmtId="0" fontId="1" fillId="0" borderId="32" xfId="0" applyFont="1" applyBorder="1" applyAlignment="1">
      <alignment horizontal="center"/>
    </xf>
    <xf numFmtId="0" fontId="10" fillId="0" borderId="31" xfId="0" applyFont="1" applyBorder="1" applyAlignment="1">
      <alignment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10" fillId="0" borderId="32" xfId="0" applyFont="1" applyBorder="1" applyAlignment="1">
      <alignment horizontal="center" vertical="center" wrapText="1"/>
    </xf>
    <xf numFmtId="0" fontId="34" fillId="0" borderId="7" xfId="0" applyFont="1" applyBorder="1"/>
    <xf numFmtId="0" fontId="34" fillId="0" borderId="8" xfId="0" applyFont="1" applyBorder="1"/>
    <xf numFmtId="0" fontId="0" fillId="0" borderId="0" xfId="0" applyFont="1" applyBorder="1" applyAlignment="1">
      <alignment wrapText="1"/>
    </xf>
    <xf numFmtId="0" fontId="0" fillId="0" borderId="0" xfId="0" applyFont="1" applyBorder="1"/>
    <xf numFmtId="0" fontId="0" fillId="0" borderId="34" xfId="0" applyFont="1" applyBorder="1" applyAlignment="1">
      <alignment wrapText="1"/>
    </xf>
    <xf numFmtId="0" fontId="15" fillId="0" borderId="0" xfId="0" applyFont="1" applyAlignment="1">
      <alignment wrapText="1"/>
    </xf>
    <xf numFmtId="0" fontId="1" fillId="0" borderId="32" xfId="0" applyFont="1" applyBorder="1" applyAlignment="1">
      <alignment horizontal="center"/>
    </xf>
    <xf numFmtId="0" fontId="0" fillId="0" borderId="0" xfId="0"/>
    <xf numFmtId="0" fontId="0" fillId="0" borderId="0" xfId="0"/>
    <xf numFmtId="0" fontId="0" fillId="0" borderId="0" xfId="0" applyAlignment="1">
      <alignment horizontal="right"/>
    </xf>
    <xf numFmtId="0" fontId="38" fillId="0" borderId="30" xfId="0" applyFont="1" applyBorder="1"/>
    <xf numFmtId="0" fontId="38" fillId="0" borderId="32" xfId="0" applyFont="1" applyBorder="1"/>
    <xf numFmtId="0" fontId="38" fillId="0" borderId="32" xfId="0" applyFont="1" applyBorder="1" applyAlignment="1">
      <alignment horizontal="center"/>
    </xf>
    <xf numFmtId="0" fontId="38" fillId="0" borderId="31" xfId="0" applyFont="1" applyBorder="1"/>
    <xf numFmtId="0" fontId="0" fillId="0" borderId="0" xfId="0" applyAlignment="1">
      <alignment horizontal="left" vertical="center"/>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5" fillId="0" borderId="0" xfId="0" applyFont="1" applyAlignment="1">
      <alignment horizontal="left" vertical="center" wrapText="1"/>
    </xf>
    <xf numFmtId="0" fontId="16" fillId="3" borderId="2"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0" xfId="0"/>
    <xf numFmtId="0" fontId="10" fillId="3" borderId="30"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22" fillId="2" borderId="3" xfId="0" applyFont="1" applyFill="1" applyBorder="1" applyAlignment="1">
      <alignment horizontal="left" vertical="center"/>
    </xf>
    <xf numFmtId="0" fontId="22" fillId="2" borderId="1" xfId="0" applyFont="1" applyFill="1" applyBorder="1" applyAlignment="1">
      <alignment horizontal="left" vertical="center"/>
    </xf>
    <xf numFmtId="0" fontId="22" fillId="2" borderId="4" xfId="0" applyFont="1" applyFill="1" applyBorder="1" applyAlignment="1">
      <alignment horizontal="left" vertical="center"/>
    </xf>
    <xf numFmtId="0" fontId="30" fillId="0" borderId="5" xfId="0" applyFont="1" applyBorder="1" applyAlignment="1">
      <alignment horizontal="center"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 fillId="0" borderId="0" xfId="0" applyFont="1" applyAlignment="1">
      <alignment horizontal="left" vertical="center" wrapText="1"/>
    </xf>
    <xf numFmtId="0" fontId="16" fillId="2"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5" fillId="4" borderId="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22" fillId="2" borderId="19" xfId="0" applyFont="1" applyFill="1" applyBorder="1" applyAlignment="1">
      <alignment horizontal="left" vertical="center"/>
    </xf>
    <xf numFmtId="0" fontId="22" fillId="2" borderId="5" xfId="0" applyFont="1" applyFill="1" applyBorder="1" applyAlignment="1">
      <alignment horizontal="left" vertical="center"/>
    </xf>
    <xf numFmtId="0" fontId="22" fillId="2" borderId="17" xfId="0" applyFont="1" applyFill="1" applyBorder="1" applyAlignment="1">
      <alignment horizontal="left" vertical="center"/>
    </xf>
    <xf numFmtId="0" fontId="22" fillId="2" borderId="20" xfId="0" applyFont="1" applyFill="1" applyBorder="1" applyAlignment="1">
      <alignment horizontal="left" vertical="center"/>
    </xf>
    <xf numFmtId="0" fontId="22" fillId="2" borderId="21" xfId="0" applyFont="1" applyFill="1" applyBorder="1" applyAlignment="1">
      <alignment horizontal="left" vertical="center"/>
    </xf>
    <xf numFmtId="0" fontId="22" fillId="2" borderId="18" xfId="0" applyFont="1" applyFill="1" applyBorder="1" applyAlignment="1">
      <alignment horizontal="left" vertical="center"/>
    </xf>
    <xf numFmtId="0" fontId="0" fillId="0" borderId="2" xfId="0" applyBorder="1" applyAlignment="1">
      <alignment horizontal="center"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49" fontId="29" fillId="0" borderId="0" xfId="0" applyNumberFormat="1" applyFont="1" applyAlignment="1">
      <alignment horizontal="center" vertical="center"/>
    </xf>
    <xf numFmtId="0" fontId="6" fillId="0" borderId="0" xfId="0" applyFont="1" applyAlignment="1">
      <alignment horizontal="center" vertical="center"/>
    </xf>
    <xf numFmtId="49" fontId="16" fillId="0" borderId="0" xfId="0" applyNumberFormat="1" applyFont="1" applyAlignment="1">
      <alignment horizontal="left" vertical="center"/>
    </xf>
    <xf numFmtId="0" fontId="7" fillId="0" borderId="6" xfId="0" applyFont="1" applyBorder="1" applyAlignment="1">
      <alignment horizontal="center"/>
    </xf>
    <xf numFmtId="0" fontId="9" fillId="0" borderId="0" xfId="0" applyFont="1" applyAlignment="1">
      <alignment horizontal="center" wrapText="1"/>
    </xf>
    <xf numFmtId="0" fontId="1" fillId="0" borderId="6" xfId="0" applyFont="1" applyBorder="1" applyAlignment="1">
      <alignment horizontal="center" vertical="center"/>
    </xf>
    <xf numFmtId="0" fontId="29" fillId="0" borderId="0" xfId="0" applyFont="1" applyAlignment="1">
      <alignment horizontal="left" vertical="center"/>
    </xf>
    <xf numFmtId="0" fontId="0" fillId="0" borderId="14" xfId="0" applyFont="1" applyBorder="1" applyAlignment="1">
      <alignment horizontal="center" vertical="center"/>
    </xf>
    <xf numFmtId="0" fontId="0" fillId="0" borderId="14"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xf>
    <xf numFmtId="0" fontId="1" fillId="0" borderId="14" xfId="0" applyFont="1" applyBorder="1" applyAlignment="1">
      <alignment horizontal="center" vertical="center"/>
    </xf>
    <xf numFmtId="0" fontId="0" fillId="6" borderId="14" xfId="0" applyFill="1" applyBorder="1" applyAlignment="1">
      <alignment horizontal="left" vertical="center"/>
    </xf>
    <xf numFmtId="0" fontId="0" fillId="6" borderId="2" xfId="0" applyFill="1" applyBorder="1" applyAlignment="1">
      <alignment horizontal="left" vertical="center"/>
    </xf>
    <xf numFmtId="0" fontId="0" fillId="6" borderId="0" xfId="0" applyFill="1"/>
    <xf numFmtId="0" fontId="0" fillId="0" borderId="13" xfId="0" applyBorder="1" applyAlignment="1">
      <alignment horizontal="left" vertical="center"/>
    </xf>
    <xf numFmtId="0" fontId="0" fillId="0" borderId="2" xfId="0" applyFont="1" applyBorder="1" applyAlignment="1">
      <alignment horizontal="left" vertical="center"/>
    </xf>
    <xf numFmtId="164" fontId="1" fillId="0" borderId="2" xfId="0" applyNumberFormat="1" applyFont="1" applyBorder="1" applyAlignment="1">
      <alignment horizontal="left" vertical="center"/>
    </xf>
    <xf numFmtId="164" fontId="0" fillId="0" borderId="14" xfId="0" applyNumberFormat="1" applyBorder="1" applyAlignment="1">
      <alignment horizontal="left" vertical="center"/>
    </xf>
    <xf numFmtId="164" fontId="0" fillId="0" borderId="2" xfId="0" applyNumberFormat="1" applyBorder="1" applyAlignment="1">
      <alignment horizontal="left" vertical="center"/>
    </xf>
    <xf numFmtId="164" fontId="0" fillId="0" borderId="2" xfId="0" applyNumberFormat="1" applyFont="1" applyBorder="1" applyAlignment="1">
      <alignment horizontal="left" vertical="center"/>
    </xf>
    <xf numFmtId="2" fontId="0" fillId="0" borderId="2" xfId="0" applyNumberFormat="1" applyFont="1" applyBorder="1" applyAlignment="1">
      <alignment horizontal="left" vertical="center"/>
    </xf>
    <xf numFmtId="0" fontId="0" fillId="0" borderId="13" xfId="0" applyBorder="1"/>
    <xf numFmtId="2" fontId="1" fillId="0" borderId="6" xfId="0" applyNumberFormat="1"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left"/>
    </xf>
    <xf numFmtId="0" fontId="1" fillId="0" borderId="30" xfId="0" applyFont="1" applyBorder="1" applyAlignment="1">
      <alignment horizontal="right"/>
    </xf>
    <xf numFmtId="0" fontId="1" fillId="0" borderId="32" xfId="0" applyFont="1" applyBorder="1" applyAlignment="1">
      <alignment horizontal="right"/>
    </xf>
    <xf numFmtId="0" fontId="0" fillId="0" borderId="0" xfId="0" applyFill="1" applyAlignment="1">
      <alignment horizontal="center" vertical="center"/>
    </xf>
    <xf numFmtId="0" fontId="0" fillId="0" borderId="0" xfId="0" applyFill="1"/>
    <xf numFmtId="0" fontId="0" fillId="4" borderId="2" xfId="0" applyFill="1" applyBorder="1"/>
    <xf numFmtId="0" fontId="6" fillId="0" borderId="0" xfId="0" applyFont="1" applyAlignment="1">
      <alignment vertical="center"/>
    </xf>
    <xf numFmtId="0" fontId="1" fillId="4" borderId="2" xfId="0" applyFont="1" applyFill="1" applyBorder="1" applyAlignment="1">
      <alignment horizontal="center"/>
    </xf>
    <xf numFmtId="49" fontId="37" fillId="4" borderId="19" xfId="0" applyNumberFormat="1" applyFont="1" applyFill="1" applyBorder="1" applyAlignment="1">
      <alignment horizontal="right"/>
    </xf>
    <xf numFmtId="0" fontId="37" fillId="4" borderId="5" xfId="0" applyFont="1" applyFill="1" applyBorder="1"/>
    <xf numFmtId="0" fontId="37" fillId="4" borderId="17" xfId="0" applyFont="1" applyFill="1" applyBorder="1"/>
    <xf numFmtId="49" fontId="37" fillId="4" borderId="3" xfId="0" applyNumberFormat="1" applyFont="1" applyFill="1" applyBorder="1" applyAlignment="1">
      <alignment horizontal="right"/>
    </xf>
    <xf numFmtId="0" fontId="37" fillId="4" borderId="1" xfId="0" applyFont="1" applyFill="1" applyBorder="1"/>
    <xf numFmtId="0" fontId="37" fillId="4" borderId="4" xfId="0" applyFont="1" applyFill="1" applyBorder="1"/>
    <xf numFmtId="0" fontId="0" fillId="4" borderId="2"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vertical="center"/>
    </xf>
    <xf numFmtId="0" fontId="1" fillId="4" borderId="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 xfId="0" applyFont="1" applyFill="1" applyBorder="1" applyAlignment="1">
      <alignment vertical="center" wrapText="1"/>
    </xf>
    <xf numFmtId="0" fontId="15" fillId="8"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horizontal="left" vertical="center" wrapText="1"/>
    </xf>
    <xf numFmtId="0" fontId="0" fillId="7" borderId="13" xfId="0" applyFill="1" applyBorder="1" applyAlignment="1">
      <alignment horizontal="left" vertical="center"/>
    </xf>
    <xf numFmtId="0" fontId="0" fillId="0" borderId="13" xfId="0" applyFont="1" applyBorder="1" applyAlignment="1">
      <alignment horizontal="left" vertical="center"/>
    </xf>
    <xf numFmtId="0" fontId="0" fillId="0" borderId="6" xfId="0" applyFont="1" applyBorder="1" applyAlignment="1">
      <alignment horizontal="center" vertical="center"/>
    </xf>
    <xf numFmtId="0" fontId="1" fillId="0" borderId="6" xfId="0" applyFont="1" applyBorder="1" applyAlignment="1">
      <alignment horizontal="left" vertical="center" wrapText="1"/>
    </xf>
    <xf numFmtId="0" fontId="0" fillId="6" borderId="6" xfId="0" applyFill="1" applyBorder="1" applyAlignment="1">
      <alignment horizontal="left" vertical="center"/>
    </xf>
    <xf numFmtId="164" fontId="1" fillId="0" borderId="6" xfId="0" applyNumberFormat="1" applyFont="1" applyBorder="1" applyAlignment="1">
      <alignment horizontal="left" vertical="center"/>
    </xf>
  </cellXfs>
  <cellStyles count="1">
    <cellStyle name="Normal" xfId="0" builtinId="0"/>
  </cellStyles>
  <dxfs count="94">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1"/>
      </font>
      <fill>
        <patternFill>
          <bgColor rgb="FFFFFF00"/>
        </patternFill>
      </fill>
    </dxf>
    <dxf>
      <font>
        <b/>
        <i val="0"/>
        <color theme="1"/>
      </font>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505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F8AFA8E5-29F6-476E-B983-53A1A2A89A39}"/>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12</xdr:col>
      <xdr:colOff>104775</xdr:colOff>
      <xdr:row>61</xdr:row>
      <xdr:rowOff>38100</xdr:rowOff>
    </xdr:to>
    <xdr:pic>
      <xdr:nvPicPr>
        <xdr:cNvPr id="2" name="Picture 1">
          <a:extLst>
            <a:ext uri="{FF2B5EF4-FFF2-40B4-BE49-F238E27FC236}">
              <a16:creationId xmlns:a16="http://schemas.microsoft.com/office/drawing/2014/main" id="{9A9BCA1E-E46F-447F-9A9F-8A9B6108F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9248775"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9525</xdr:rowOff>
    </xdr:from>
    <xdr:to>
      <xdr:col>11</xdr:col>
      <xdr:colOff>161925</xdr:colOff>
      <xdr:row>39</xdr:row>
      <xdr:rowOff>19050</xdr:rowOff>
    </xdr:to>
    <xdr:pic>
      <xdr:nvPicPr>
        <xdr:cNvPr id="3" name="Picture 2">
          <a:extLst>
            <a:ext uri="{FF2B5EF4-FFF2-40B4-BE49-F238E27FC236}">
              <a16:creationId xmlns:a16="http://schemas.microsoft.com/office/drawing/2014/main" id="{820ADFCB-60F0-4DA4-8C97-AF8294BB0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525"/>
          <a:ext cx="8524875" cy="7572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1F4CBE3B-11DB-4FE6-A599-5C7FF80EB8EF}"/>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0A532FBE-0E4A-47AC-82B7-82A724647404}"/>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8731BA14-25EA-4101-ACBD-A2D6917EE1B7}"/>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5177A744-6329-40B7-BF2A-9EA40B4FE0D5}"/>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C1E96B9D-2A99-48EC-95BD-544AE37FF1F9}"/>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C72E0C1A-4768-4675-B367-2039841D57B2}"/>
            </a:ext>
          </a:extLst>
        </xdr:cNvPr>
        <xdr:cNvSpPr txBox="1"/>
      </xdr:nvSpPr>
      <xdr:spPr>
        <a:xfrm>
          <a:off x="8877300" y="360045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581025</xdr:colOff>
      <xdr:row>11</xdr:row>
      <xdr:rowOff>400050</xdr:rowOff>
    </xdr:from>
    <xdr:ext cx="236988" cy="254557"/>
    <xdr:sp macro="" textlink="">
      <xdr:nvSpPr>
        <xdr:cNvPr id="2" name="TextBox 1">
          <a:extLst>
            <a:ext uri="{FF2B5EF4-FFF2-40B4-BE49-F238E27FC236}">
              <a16:creationId xmlns:a16="http://schemas.microsoft.com/office/drawing/2014/main" id="{4AB62F35-3643-4FDD-9569-7F7E5476F932}"/>
            </a:ext>
          </a:extLst>
        </xdr:cNvPr>
        <xdr:cNvSpPr txBox="1"/>
      </xdr:nvSpPr>
      <xdr:spPr>
        <a:xfrm>
          <a:off x="8877300" y="3619500"/>
          <a:ext cx="236988"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aseline="30000">
              <a:latin typeface="Arial" panose="020B0604020202020204" pitchFamily="34" charset="0"/>
              <a:cs typeface="Arial" panose="020B0604020202020204" pitchFamily="34" charset="0"/>
            </a:rPr>
            <a:t>2</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19</xdr:col>
      <xdr:colOff>727986</xdr:colOff>
      <xdr:row>52</xdr:row>
      <xdr:rowOff>3086</xdr:rowOff>
    </xdr:to>
    <xdr:pic>
      <xdr:nvPicPr>
        <xdr:cNvPr id="2" name="Picture 1">
          <a:extLst>
            <a:ext uri="{FF2B5EF4-FFF2-40B4-BE49-F238E27FC236}">
              <a16:creationId xmlns:a16="http://schemas.microsoft.com/office/drawing/2014/main" id="{5E5E7AAC-18FF-43F3-97FA-208F227D5C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
          <a:ext cx="15205986" cy="10410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177486</xdr:rowOff>
    </xdr:from>
    <xdr:to>
      <xdr:col>19</xdr:col>
      <xdr:colOff>739298</xdr:colOff>
      <xdr:row>107</xdr:row>
      <xdr:rowOff>110810</xdr:rowOff>
    </xdr:to>
    <xdr:pic>
      <xdr:nvPicPr>
        <xdr:cNvPr id="3" name="Picture 2">
          <a:extLst>
            <a:ext uri="{FF2B5EF4-FFF2-40B4-BE49-F238E27FC236}">
              <a16:creationId xmlns:a16="http://schemas.microsoft.com/office/drawing/2014/main" id="{6FE698A1-9F75-41E2-AB56-E4C93F43F7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65937"/>
          <a:ext cx="15268277" cy="10263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128118</xdr:rowOff>
    </xdr:from>
    <xdr:to>
      <xdr:col>19</xdr:col>
      <xdr:colOff>752475</xdr:colOff>
      <xdr:row>162</xdr:row>
      <xdr:rowOff>109069</xdr:rowOff>
    </xdr:to>
    <xdr:pic>
      <xdr:nvPicPr>
        <xdr:cNvPr id="4" name="Picture 3">
          <a:extLst>
            <a:ext uri="{FF2B5EF4-FFF2-40B4-BE49-F238E27FC236}">
              <a16:creationId xmlns:a16="http://schemas.microsoft.com/office/drawing/2014/main" id="{0E6E4DD7-67AD-4B94-9922-80282FF768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546498"/>
          <a:ext cx="15281454" cy="10310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162</xdr:row>
      <xdr:rowOff>91762</xdr:rowOff>
    </xdr:from>
    <xdr:to>
      <xdr:col>19</xdr:col>
      <xdr:colOff>760310</xdr:colOff>
      <xdr:row>216</xdr:row>
      <xdr:rowOff>167962</xdr:rowOff>
    </xdr:to>
    <xdr:pic>
      <xdr:nvPicPr>
        <xdr:cNvPr id="5" name="Picture 4">
          <a:extLst>
            <a:ext uri="{FF2B5EF4-FFF2-40B4-BE49-F238E27FC236}">
              <a16:creationId xmlns:a16="http://schemas.microsoft.com/office/drawing/2014/main" id="{F228A5A1-E2E7-430E-A43C-C590E1346E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40072"/>
          <a:ext cx="15289289" cy="10218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216</xdr:row>
      <xdr:rowOff>164071</xdr:rowOff>
    </xdr:from>
    <xdr:to>
      <xdr:col>20</xdr:col>
      <xdr:colOff>3314</xdr:colOff>
      <xdr:row>272</xdr:row>
      <xdr:rowOff>40246</xdr:rowOff>
    </xdr:to>
    <xdr:pic>
      <xdr:nvPicPr>
        <xdr:cNvPr id="6" name="Picture 5">
          <a:extLst>
            <a:ext uri="{FF2B5EF4-FFF2-40B4-BE49-F238E27FC236}">
              <a16:creationId xmlns:a16="http://schemas.microsoft.com/office/drawing/2014/main" id="{9CE01AB8-80CB-47A7-B9E8-1DFD6A0D499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1054494"/>
          <a:ext cx="15296976" cy="1039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017F-0364-4BFF-9A70-DA8866527D9D}">
  <sheetPr>
    <tabColor theme="9" tint="0.39997558519241921"/>
  </sheetPr>
  <dimension ref="A1:E25"/>
  <sheetViews>
    <sheetView tabSelected="1" workbookViewId="0">
      <selection activeCell="A2" sqref="A2"/>
    </sheetView>
  </sheetViews>
  <sheetFormatPr defaultRowHeight="15" x14ac:dyDescent="0.2"/>
  <cols>
    <col min="1" max="1" width="9.88671875" customWidth="1"/>
    <col min="2" max="2" width="50.77734375" customWidth="1"/>
    <col min="3" max="3" width="15" bestFit="1" customWidth="1"/>
    <col min="4" max="4" width="15.77734375" bestFit="1" customWidth="1"/>
    <col min="5" max="5" width="21.44140625" bestFit="1" customWidth="1"/>
  </cols>
  <sheetData>
    <row r="1" spans="1:5" ht="25.5" x14ac:dyDescent="0.2">
      <c r="A1" s="160" t="s">
        <v>284</v>
      </c>
      <c r="B1" s="160"/>
      <c r="C1" s="160"/>
    </row>
    <row r="2" spans="1:5" ht="15.75" thickBot="1" x14ac:dyDescent="0.25"/>
    <row r="3" spans="1:5" ht="16.5" thickBot="1" x14ac:dyDescent="0.25">
      <c r="A3" s="159" t="s">
        <v>261</v>
      </c>
      <c r="B3" s="159" t="s">
        <v>270</v>
      </c>
      <c r="C3" s="159" t="s">
        <v>271</v>
      </c>
      <c r="D3" s="159" t="s">
        <v>272</v>
      </c>
      <c r="E3" s="159" t="s">
        <v>273</v>
      </c>
    </row>
    <row r="4" spans="1:5" s="106" customFormat="1" ht="15.75" x14ac:dyDescent="0.2">
      <c r="A4" s="167"/>
      <c r="B4" s="167"/>
      <c r="C4" s="167"/>
      <c r="D4" s="167"/>
      <c r="E4" s="167"/>
    </row>
    <row r="5" spans="1:5" x14ac:dyDescent="0.2">
      <c r="A5" s="161" t="s">
        <v>236</v>
      </c>
      <c r="B5" s="162" t="s">
        <v>253</v>
      </c>
      <c r="C5" s="174">
        <v>1955.5397419999999</v>
      </c>
      <c r="D5" s="168"/>
      <c r="E5" s="168"/>
    </row>
    <row r="6" spans="1:5" x14ac:dyDescent="0.2">
      <c r="A6" s="163" t="s">
        <v>237</v>
      </c>
      <c r="B6" s="164" t="s">
        <v>254</v>
      </c>
      <c r="C6" s="175">
        <v>1.2197999999999999E-2</v>
      </c>
      <c r="D6" s="169"/>
      <c r="E6" s="169"/>
    </row>
    <row r="7" spans="1:5" x14ac:dyDescent="0.2">
      <c r="A7" s="163" t="s">
        <v>238</v>
      </c>
      <c r="B7" s="164" t="s">
        <v>262</v>
      </c>
      <c r="C7" s="175">
        <v>1.7445364536000001</v>
      </c>
      <c r="D7" s="169"/>
      <c r="E7" s="169"/>
    </row>
    <row r="8" spans="1:5" x14ac:dyDescent="0.2">
      <c r="A8" s="163" t="s">
        <v>239</v>
      </c>
      <c r="B8" s="164" t="s">
        <v>255</v>
      </c>
      <c r="C8" s="166" t="s">
        <v>274</v>
      </c>
      <c r="D8" s="169"/>
      <c r="E8" s="169"/>
    </row>
    <row r="9" spans="1:5" x14ac:dyDescent="0.2">
      <c r="A9" s="163" t="s">
        <v>240</v>
      </c>
      <c r="B9" s="164" t="s">
        <v>256</v>
      </c>
      <c r="C9" s="166" t="s">
        <v>274</v>
      </c>
      <c r="D9" s="169"/>
      <c r="E9" s="169"/>
    </row>
    <row r="10" spans="1:5" s="106" customFormat="1" ht="27" customHeight="1" x14ac:dyDescent="0.2">
      <c r="A10" s="163"/>
      <c r="B10" s="165" t="s">
        <v>263</v>
      </c>
      <c r="C10" s="173">
        <f>C5+C6+C7</f>
        <v>1957.2964764535998</v>
      </c>
      <c r="D10" s="169"/>
      <c r="E10" s="169"/>
    </row>
    <row r="11" spans="1:5" s="106" customFormat="1" ht="15.75" x14ac:dyDescent="0.2">
      <c r="A11" s="163"/>
      <c r="B11" s="165"/>
      <c r="C11" s="166"/>
      <c r="D11" s="166"/>
      <c r="E11" s="166"/>
    </row>
    <row r="12" spans="1:5" x14ac:dyDescent="0.2">
      <c r="A12" s="163" t="s">
        <v>241</v>
      </c>
      <c r="B12" s="164" t="s">
        <v>264</v>
      </c>
      <c r="C12" s="170"/>
      <c r="D12" s="175">
        <f>28206.40823/1000</f>
        <v>28.206408230000001</v>
      </c>
      <c r="E12" s="177">
        <f>(D12/C10)*100</f>
        <v>1.4410902267144947</v>
      </c>
    </row>
    <row r="13" spans="1:5" x14ac:dyDescent="0.2">
      <c r="A13" s="163" t="s">
        <v>242</v>
      </c>
      <c r="B13" s="164" t="s">
        <v>265</v>
      </c>
      <c r="C13" s="169"/>
      <c r="D13" s="175">
        <f>28.0012401495241/1000</f>
        <v>2.8001240149524102E-2</v>
      </c>
      <c r="E13" s="177">
        <f>(D13/C10)*100</f>
        <v>1.4306080088724825E-3</v>
      </c>
    </row>
    <row r="14" spans="1:5" x14ac:dyDescent="0.2">
      <c r="A14" s="163" t="s">
        <v>243</v>
      </c>
      <c r="B14" s="164" t="s">
        <v>257</v>
      </c>
      <c r="C14" s="170"/>
      <c r="D14" s="166" t="s">
        <v>275</v>
      </c>
      <c r="E14" s="166" t="s">
        <v>274</v>
      </c>
    </row>
    <row r="15" spans="1:5" x14ac:dyDescent="0.2">
      <c r="A15" s="163" t="s">
        <v>244</v>
      </c>
      <c r="B15" s="164" t="s">
        <v>266</v>
      </c>
      <c r="C15" s="169"/>
      <c r="D15" s="175">
        <f>189.701440526867/1000</f>
        <v>0.18970144052686699</v>
      </c>
      <c r="E15" s="177">
        <f>(D15/C10)*100</f>
        <v>9.6920135916549847E-3</v>
      </c>
    </row>
    <row r="16" spans="1:5" x14ac:dyDescent="0.2">
      <c r="A16" s="163" t="s">
        <v>245</v>
      </c>
      <c r="B16" s="164" t="s">
        <v>258</v>
      </c>
      <c r="C16" s="169"/>
      <c r="D16" s="166" t="s">
        <v>274</v>
      </c>
      <c r="E16" s="166" t="s">
        <v>274</v>
      </c>
    </row>
    <row r="17" spans="1:5" x14ac:dyDescent="0.2">
      <c r="A17" s="163" t="s">
        <v>246</v>
      </c>
      <c r="B17" s="164" t="s">
        <v>267</v>
      </c>
      <c r="C17" s="169"/>
      <c r="D17" s="166" t="s">
        <v>274</v>
      </c>
      <c r="E17" s="166" t="s">
        <v>274</v>
      </c>
    </row>
    <row r="18" spans="1:5" x14ac:dyDescent="0.2">
      <c r="A18" s="163" t="s">
        <v>247</v>
      </c>
      <c r="B18" s="164" t="s">
        <v>268</v>
      </c>
      <c r="C18" s="169"/>
      <c r="D18" s="166" t="s">
        <v>274</v>
      </c>
      <c r="E18" s="166" t="s">
        <v>274</v>
      </c>
    </row>
    <row r="19" spans="1:5" x14ac:dyDescent="0.2">
      <c r="A19" s="163" t="s">
        <v>248</v>
      </c>
      <c r="B19" s="164" t="s">
        <v>259</v>
      </c>
      <c r="C19" s="169"/>
      <c r="D19" s="166" t="s">
        <v>274</v>
      </c>
      <c r="E19" s="166" t="s">
        <v>274</v>
      </c>
    </row>
    <row r="20" spans="1:5" x14ac:dyDescent="0.2">
      <c r="A20" s="163" t="s">
        <v>249</v>
      </c>
      <c r="B20" s="164" t="s">
        <v>260</v>
      </c>
      <c r="C20" s="169"/>
      <c r="D20" s="171" t="s">
        <v>274</v>
      </c>
      <c r="E20" s="171" t="s">
        <v>274</v>
      </c>
    </row>
    <row r="21" spans="1:5" s="106" customFormat="1" x14ac:dyDescent="0.2">
      <c r="A21" s="163" t="s">
        <v>250</v>
      </c>
      <c r="B21" s="164" t="s">
        <v>278</v>
      </c>
      <c r="C21" s="169"/>
      <c r="D21" s="176">
        <f>8747.75/1000</f>
        <v>8.7477499999999999</v>
      </c>
      <c r="E21" s="177">
        <f>(D21/C10)*100</f>
        <v>0.44693024818855925</v>
      </c>
    </row>
    <row r="22" spans="1:5" s="106" customFormat="1" x14ac:dyDescent="0.2">
      <c r="A22" s="163" t="s">
        <v>251</v>
      </c>
      <c r="B22" s="164" t="s">
        <v>279</v>
      </c>
      <c r="C22" s="169"/>
      <c r="D22" s="166" t="s">
        <v>277</v>
      </c>
      <c r="E22" s="166" t="s">
        <v>274</v>
      </c>
    </row>
    <row r="23" spans="1:5" x14ac:dyDescent="0.2">
      <c r="A23" s="163" t="s">
        <v>252</v>
      </c>
      <c r="B23" s="164" t="s">
        <v>269</v>
      </c>
      <c r="C23" s="169"/>
      <c r="D23" s="172">
        <v>0</v>
      </c>
      <c r="E23" s="166">
        <v>0</v>
      </c>
    </row>
    <row r="24" spans="1:5" ht="15.75" thickBot="1" x14ac:dyDescent="0.25">
      <c r="A24" s="208"/>
      <c r="B24" s="209"/>
      <c r="C24" s="210"/>
      <c r="D24" s="211"/>
      <c r="E24" s="178"/>
    </row>
    <row r="25" spans="1:5" ht="27" customHeight="1" thickBot="1" x14ac:dyDescent="0.25">
      <c r="A25" s="212"/>
      <c r="B25" s="213" t="s">
        <v>276</v>
      </c>
      <c r="C25" s="214"/>
      <c r="D25" s="215">
        <f>D21+D15+D13+D12</f>
        <v>37.171860910676394</v>
      </c>
      <c r="E25" s="179">
        <f>E12+E13+E15+E21</f>
        <v>1.8991430965035814</v>
      </c>
    </row>
  </sheetData>
  <mergeCells count="1">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1BB1-B549-469E-ABB8-58154DD60B33}">
  <sheetPr>
    <tabColor theme="7" tint="0.39997558519241921"/>
  </sheetPr>
  <dimension ref="A1:Z136"/>
  <sheetViews>
    <sheetView workbookViewId="0">
      <selection activeCell="H3" sqref="H3"/>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4</v>
      </c>
      <c r="B5" s="5">
        <f>N16</f>
        <v>99.8</v>
      </c>
      <c r="C5" s="147">
        <f>I22</f>
        <v>2.7388914144284962</v>
      </c>
      <c r="D5" s="147"/>
      <c r="E5" s="147"/>
      <c r="F5" s="5">
        <f>I18</f>
        <v>0.11716674916985161</v>
      </c>
      <c r="G5" s="5">
        <f>I13</f>
        <v>12.200759601156761</v>
      </c>
      <c r="H5" s="5">
        <f>N13</f>
        <v>2.15</v>
      </c>
      <c r="I5" s="5">
        <f>I50</f>
        <v>0.60386769431974074</v>
      </c>
      <c r="J5" s="5">
        <f>I40</f>
        <v>2.9692297215841754</v>
      </c>
      <c r="K5" s="5">
        <f>J40</f>
        <v>2.5238270108082199</v>
      </c>
      <c r="L5" s="5">
        <f>J5-K5</f>
        <v>0.4454027107759555</v>
      </c>
      <c r="M5" s="5">
        <f>I34</f>
        <v>2.2604410700088708E-2</v>
      </c>
      <c r="N5" s="7">
        <f>I9</f>
        <v>7.1222809432553182</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13</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12.200759601156761</v>
      </c>
      <c r="K8" s="16">
        <f>I18</f>
        <v>0.11716674916985161</v>
      </c>
      <c r="L8" s="49">
        <f>I34</f>
        <v>2.2604410700088708E-2</v>
      </c>
      <c r="M8" s="49">
        <f>I50</f>
        <v>0.60386769431974074</v>
      </c>
      <c r="O8" s="29"/>
      <c r="P8" s="26"/>
      <c r="Q8" s="20">
        <v>365</v>
      </c>
      <c r="R8" s="23" t="s">
        <v>92</v>
      </c>
      <c r="S8" s="24"/>
      <c r="T8" s="24"/>
      <c r="U8" s="24"/>
      <c r="V8" s="24"/>
      <c r="W8" s="22" t="s">
        <v>89</v>
      </c>
      <c r="X8" s="6"/>
      <c r="Y8" s="6"/>
      <c r="Z8" s="6"/>
    </row>
    <row r="9" spans="1:26" ht="18.75" x14ac:dyDescent="0.2">
      <c r="G9" s="27"/>
      <c r="H9" s="40" t="s">
        <v>140</v>
      </c>
      <c r="I9" s="2">
        <f>I8*J8*K8*L8*M8</f>
        <v>7.1222809432553182</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1.8063360000000002</v>
      </c>
      <c r="K12" s="16">
        <f>N13</f>
        <v>2.15</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12.200759601156761</v>
      </c>
      <c r="L13" s="11">
        <f>PI()</f>
        <v>3.1415926535897931</v>
      </c>
      <c r="M13" s="50">
        <v>1.3440000000000001</v>
      </c>
      <c r="N13" s="51">
        <v>2.15</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99.8</v>
      </c>
      <c r="J16" s="25" t="s">
        <v>117</v>
      </c>
      <c r="K16" s="16"/>
      <c r="N16" s="52">
        <v>99.8</v>
      </c>
      <c r="O16" s="29"/>
      <c r="P16" s="26"/>
      <c r="R16" s="25"/>
      <c r="S16" s="25"/>
      <c r="T16" s="25"/>
      <c r="U16" s="25"/>
      <c r="V16" s="25"/>
    </row>
    <row r="17" spans="1:23" ht="38.25" x14ac:dyDescent="0.2">
      <c r="G17" s="27"/>
      <c r="H17" s="42" t="s">
        <v>115</v>
      </c>
      <c r="I17" s="16">
        <f>99.8*I22</f>
        <v>273.34136315996392</v>
      </c>
      <c r="J17" s="16">
        <f>8.3143*I27</f>
        <v>2332.9260655999997</v>
      </c>
      <c r="O17" s="29"/>
      <c r="P17" s="26"/>
      <c r="Q17" s="19" t="s">
        <v>62</v>
      </c>
      <c r="R17" s="124" t="s">
        <v>63</v>
      </c>
      <c r="S17" s="125"/>
      <c r="T17" s="125"/>
      <c r="U17" s="125"/>
      <c r="V17" s="126"/>
      <c r="W17" s="21" t="s">
        <v>142</v>
      </c>
    </row>
    <row r="18" spans="1:23" ht="18.75" x14ac:dyDescent="0.2">
      <c r="G18" s="27"/>
      <c r="H18" s="40" t="s">
        <v>114</v>
      </c>
      <c r="I18" s="4">
        <f>I17/J17</f>
        <v>0.11716674916985161</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6.0196199999999997</v>
      </c>
      <c r="M21" s="51">
        <v>1255.527</v>
      </c>
      <c r="N21" s="51">
        <v>217.3304</v>
      </c>
      <c r="O21" s="29"/>
      <c r="P21" s="26"/>
      <c r="Q21" s="19" t="s">
        <v>38</v>
      </c>
      <c r="R21" s="124" t="s">
        <v>39</v>
      </c>
      <c r="S21" s="125"/>
      <c r="T21" s="125"/>
      <c r="U21" s="125"/>
      <c r="V21" s="126"/>
      <c r="W21" s="21" t="s">
        <v>41</v>
      </c>
    </row>
    <row r="22" spans="1:23" ht="18.75" customHeight="1" x14ac:dyDescent="0.2">
      <c r="G22" s="27"/>
      <c r="H22" s="40" t="s">
        <v>107</v>
      </c>
      <c r="I22" s="4">
        <f>10^(L21-(M21/((N21-273)+I27)))</f>
        <v>2.7388914144284962</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v>
      </c>
      <c r="N25" s="51">
        <v>0</v>
      </c>
      <c r="O25" s="29"/>
      <c r="P25" s="26"/>
      <c r="Q25" s="19" t="s">
        <v>40</v>
      </c>
      <c r="R25" s="124" t="s">
        <v>51</v>
      </c>
      <c r="S25" s="125"/>
      <c r="T25" s="125"/>
      <c r="U25" s="125"/>
      <c r="V25" s="126"/>
      <c r="W25" s="21" t="s">
        <v>67</v>
      </c>
    </row>
    <row r="26" spans="1:23" ht="15.75" x14ac:dyDescent="0.2">
      <c r="G26" s="27"/>
      <c r="H26" s="42" t="s">
        <v>109</v>
      </c>
      <c r="I26" s="16">
        <f>0.44*M29</f>
        <v>123.59599999999999</v>
      </c>
      <c r="J26" s="16">
        <f>0.56*I31</f>
        <v>156.99600000000001</v>
      </c>
      <c r="K26" s="16">
        <f>0.00503*M25*N25</f>
        <v>0</v>
      </c>
      <c r="O26" s="29"/>
      <c r="P26" s="26"/>
      <c r="R26" s="25"/>
      <c r="S26" s="25"/>
      <c r="T26" s="25"/>
      <c r="U26" s="25"/>
      <c r="V26" s="25"/>
    </row>
    <row r="27" spans="1:23" ht="18.75" x14ac:dyDescent="0.2">
      <c r="G27" s="27"/>
      <c r="H27" s="40" t="s">
        <v>105</v>
      </c>
      <c r="I27" s="4">
        <f>I26+J26+K26</f>
        <v>280.59199999999998</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280.89999999999998</v>
      </c>
      <c r="N29" s="11">
        <f>M25</f>
        <v>0</v>
      </c>
      <c r="O29" s="29"/>
      <c r="P29" s="26"/>
      <c r="Q29" s="19" t="s">
        <v>46</v>
      </c>
      <c r="R29" s="124" t="s">
        <v>53</v>
      </c>
      <c r="S29" s="125"/>
      <c r="T29" s="125"/>
      <c r="U29" s="125"/>
      <c r="V29" s="126"/>
      <c r="W29" s="21" t="s">
        <v>67</v>
      </c>
    </row>
    <row r="30" spans="1:23" ht="15.75" x14ac:dyDescent="0.2">
      <c r="G30" s="27"/>
      <c r="H30" s="42" t="s">
        <v>106</v>
      </c>
      <c r="I30" s="16">
        <f>M29</f>
        <v>280.89999999999998</v>
      </c>
      <c r="J30" s="16">
        <f>3.33*N29</f>
        <v>0</v>
      </c>
      <c r="K30" s="16">
        <f>-0.55</f>
        <v>-0.55000000000000004</v>
      </c>
      <c r="O30" s="29"/>
      <c r="P30" s="26"/>
      <c r="R30" s="25"/>
      <c r="S30" s="25"/>
      <c r="T30" s="25"/>
      <c r="U30" s="25"/>
      <c r="V30" s="25"/>
    </row>
    <row r="31" spans="1:23" ht="18.75" x14ac:dyDescent="0.2">
      <c r="G31" s="27"/>
      <c r="H31" s="40" t="s">
        <v>104</v>
      </c>
      <c r="I31" s="4">
        <f>I30+J30+K30</f>
        <v>280.34999999999997</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2.0271426127615899E-2</v>
      </c>
      <c r="J33" s="16">
        <f>I41-N34</f>
        <v>0.22994154577595549</v>
      </c>
      <c r="K33" s="16">
        <f>M34-I22</f>
        <v>98.561108585571503</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2.2604410700088708E-2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0</v>
      </c>
      <c r="L36" s="11" t="s">
        <v>8</v>
      </c>
      <c r="M36" s="11" t="s">
        <v>50</v>
      </c>
      <c r="N36" s="11" t="s">
        <v>118</v>
      </c>
      <c r="O36" s="29"/>
      <c r="P36" s="26"/>
      <c r="R36" s="25"/>
      <c r="S36" s="25"/>
      <c r="T36" s="25"/>
      <c r="U36" s="25"/>
      <c r="V36" s="25"/>
    </row>
    <row r="37" spans="1:23" ht="38.25" x14ac:dyDescent="0.2">
      <c r="G37" s="27"/>
      <c r="H37" s="40" t="s">
        <v>119</v>
      </c>
      <c r="I37" s="4">
        <f>I36+J36</f>
        <v>5.6879999999999997</v>
      </c>
      <c r="J37" s="3"/>
      <c r="L37" s="11">
        <f>M25</f>
        <v>0</v>
      </c>
      <c r="M37" s="11">
        <f>N25</f>
        <v>0</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2.9692297215841754</v>
      </c>
      <c r="J40" s="16">
        <f>10^(L41-(M41/((I45-273)+N41)))</f>
        <v>2.5238270108082199</v>
      </c>
      <c r="L40" s="11" t="s">
        <v>1</v>
      </c>
      <c r="M40" s="11" t="s">
        <v>2</v>
      </c>
      <c r="N40" s="11" t="s">
        <v>3</v>
      </c>
      <c r="O40" s="29"/>
      <c r="P40" s="26"/>
      <c r="R40" s="25"/>
      <c r="S40" s="25"/>
      <c r="T40" s="25"/>
      <c r="U40" s="25"/>
      <c r="V40" s="25"/>
    </row>
    <row r="41" spans="1:23" ht="69.75" x14ac:dyDescent="0.2">
      <c r="G41" s="27"/>
      <c r="H41" s="40" t="s">
        <v>125</v>
      </c>
      <c r="I41" s="4">
        <f>I40-J40</f>
        <v>0.4454027107759555</v>
      </c>
      <c r="J41" s="3"/>
      <c r="L41" s="11">
        <f>L21</f>
        <v>6.0196199999999997</v>
      </c>
      <c r="M41" s="11">
        <f>M21</f>
        <v>1255.527</v>
      </c>
      <c r="N41" s="11">
        <f>N21</f>
        <v>217.3304</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282.01400000000001</v>
      </c>
      <c r="J44" s="2"/>
      <c r="O44" s="29"/>
      <c r="P44" s="26"/>
      <c r="R44" s="25"/>
      <c r="S44" s="25"/>
      <c r="T44" s="25"/>
      <c r="U44" s="25"/>
      <c r="V44" s="25"/>
    </row>
    <row r="45" spans="1:23" ht="25.5" x14ac:dyDescent="0.2">
      <c r="A45" s="128" t="s">
        <v>122</v>
      </c>
      <c r="B45" s="128"/>
      <c r="C45" s="128"/>
      <c r="G45" s="27"/>
      <c r="H45" s="40" t="s">
        <v>124</v>
      </c>
      <c r="I45" s="4">
        <f>I27-(0.25*I37)</f>
        <v>279.16999999999996</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1.655991882669769</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0.60386769431974074</v>
      </c>
      <c r="J50" s="4"/>
      <c r="M50" s="11">
        <f>I22</f>
        <v>2.7388914144284962</v>
      </c>
      <c r="N50" s="11">
        <f>N13</f>
        <v>2.15</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59" priority="12" operator="notBetween">
      <formula>0</formula>
      <formula>100</formula>
    </cfRule>
  </conditionalFormatting>
  <conditionalFormatting sqref="N13">
    <cfRule type="cellIs" dxfId="58" priority="11" operator="notBetween">
      <formula>0</formula>
      <formula>100</formula>
    </cfRule>
  </conditionalFormatting>
  <conditionalFormatting sqref="N16">
    <cfRule type="cellIs" dxfId="57" priority="10" operator="notBetween">
      <formula>0</formula>
      <formula>1000</formula>
    </cfRule>
  </conditionalFormatting>
  <conditionalFormatting sqref="L21">
    <cfRule type="cellIs" dxfId="56" priority="9" operator="notBetween">
      <formula>0.1</formula>
      <formula>10</formula>
    </cfRule>
  </conditionalFormatting>
  <conditionalFormatting sqref="M21">
    <cfRule type="cellIs" dxfId="55" priority="8" operator="notBetween">
      <formula>500</formula>
      <formula>3000</formula>
    </cfRule>
  </conditionalFormatting>
  <conditionalFormatting sqref="N21">
    <cfRule type="cellIs" dxfId="54" priority="7" operator="notBetween">
      <formula>100</formula>
      <formula>300</formula>
    </cfRule>
  </conditionalFormatting>
  <conditionalFormatting sqref="M25">
    <cfRule type="cellIs" dxfId="53" priority="6" operator="notBetween">
      <formula>0</formula>
      <formula>1</formula>
    </cfRule>
  </conditionalFormatting>
  <conditionalFormatting sqref="N25">
    <cfRule type="cellIs" dxfId="52" priority="5" operator="notBetween">
      <formula>0</formula>
      <formula>1500</formula>
    </cfRule>
  </conditionalFormatting>
  <conditionalFormatting sqref="M29">
    <cfRule type="cellIs" dxfId="51" priority="4" operator="notBetween">
      <formula>263</formula>
      <formula>303</formula>
    </cfRule>
  </conditionalFormatting>
  <conditionalFormatting sqref="N37">
    <cfRule type="cellIs" dxfId="50" priority="3" operator="notBetween">
      <formula>0</formula>
      <formula>30</formula>
    </cfRule>
  </conditionalFormatting>
  <conditionalFormatting sqref="M13:N13 N16 L21:N21 M25:N25 M29 N37">
    <cfRule type="containsText" dxfId="49" priority="2" operator="containsText" text="x">
      <formula>NOT(ISERROR(SEARCH("x",L13)))</formula>
    </cfRule>
  </conditionalFormatting>
  <conditionalFormatting sqref="A5">
    <cfRule type="containsText" dxfId="48"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C78F-6628-4A8B-8508-F83FDF6C674F}">
  <sheetPr>
    <tabColor theme="7" tint="0.39997558519241921"/>
  </sheetPr>
  <dimension ref="A1:Z136"/>
  <sheetViews>
    <sheetView workbookViewId="0">
      <selection activeCell="E1" sqref="E1:G2"/>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4</v>
      </c>
      <c r="B5" s="5">
        <f>N16</f>
        <v>99.8</v>
      </c>
      <c r="C5" s="147">
        <f>I22</f>
        <v>3.3196317665690143</v>
      </c>
      <c r="D5" s="147"/>
      <c r="E5" s="147"/>
      <c r="F5" s="5">
        <f>I18</f>
        <v>0.14030197645028827</v>
      </c>
      <c r="G5" s="5">
        <f>I13</f>
        <v>14.175834935879475</v>
      </c>
      <c r="H5" s="5">
        <f>N13</f>
        <v>2.42</v>
      </c>
      <c r="I5" s="5">
        <f>I50</f>
        <v>0.52772317477350339</v>
      </c>
      <c r="J5" s="5">
        <f>I40</f>
        <v>3.9710928681499329</v>
      </c>
      <c r="K5" s="5">
        <f>J40</f>
        <v>2.7605959861039873</v>
      </c>
      <c r="L5" s="5">
        <f>J5-K5</f>
        <v>1.2104968820459456</v>
      </c>
      <c r="M5" s="5">
        <f>I34</f>
        <v>3.0183046490913329E-2</v>
      </c>
      <c r="N5" s="7">
        <f>I9</f>
        <v>11.563106888740574</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14</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14.175834935879475</v>
      </c>
      <c r="K8" s="16">
        <f>I18</f>
        <v>0.14030197645028827</v>
      </c>
      <c r="L8" s="49">
        <f>I34</f>
        <v>3.0183046490913329E-2</v>
      </c>
      <c r="M8" s="49">
        <f>I50</f>
        <v>0.52772317477350339</v>
      </c>
      <c r="O8" s="29"/>
      <c r="P8" s="26"/>
      <c r="Q8" s="20">
        <v>365</v>
      </c>
      <c r="R8" s="23" t="s">
        <v>92</v>
      </c>
      <c r="S8" s="24"/>
      <c r="T8" s="24"/>
      <c r="U8" s="24"/>
      <c r="V8" s="24"/>
      <c r="W8" s="22" t="s">
        <v>89</v>
      </c>
      <c r="X8" s="6"/>
      <c r="Y8" s="6"/>
      <c r="Z8" s="6"/>
    </row>
    <row r="9" spans="1:26" ht="18.75" x14ac:dyDescent="0.2">
      <c r="G9" s="27"/>
      <c r="H9" s="40" t="s">
        <v>140</v>
      </c>
      <c r="I9" s="2">
        <f>I8*J8*K8*L8*M8</f>
        <v>11.563106888740574</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1.8645902499999998</v>
      </c>
      <c r="K12" s="16">
        <f>N13</f>
        <v>2.42</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14.175834935879475</v>
      </c>
      <c r="L13" s="11">
        <f>PI()</f>
        <v>3.1415926535897931</v>
      </c>
      <c r="M13" s="50">
        <v>1.3654999999999999</v>
      </c>
      <c r="N13" s="51">
        <v>2.42</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99.8</v>
      </c>
      <c r="J16" s="25" t="s">
        <v>117</v>
      </c>
      <c r="K16" s="16"/>
      <c r="N16" s="52">
        <v>99.8</v>
      </c>
      <c r="O16" s="29"/>
      <c r="P16" s="26"/>
      <c r="R16" s="25"/>
      <c r="S16" s="25"/>
      <c r="T16" s="25"/>
      <c r="U16" s="25"/>
      <c r="V16" s="25"/>
    </row>
    <row r="17" spans="1:23" ht="38.25" x14ac:dyDescent="0.2">
      <c r="G17" s="27"/>
      <c r="H17" s="42" t="s">
        <v>115</v>
      </c>
      <c r="I17" s="16">
        <f>99.8*I22</f>
        <v>331.2992503035876</v>
      </c>
      <c r="J17" s="16">
        <f>8.3143*I27</f>
        <v>2361.32988775802</v>
      </c>
      <c r="O17" s="29"/>
      <c r="P17" s="26"/>
      <c r="Q17" s="19" t="s">
        <v>62</v>
      </c>
      <c r="R17" s="124" t="s">
        <v>63</v>
      </c>
      <c r="S17" s="125"/>
      <c r="T17" s="125"/>
      <c r="U17" s="125"/>
      <c r="V17" s="126"/>
      <c r="W17" s="21" t="s">
        <v>142</v>
      </c>
    </row>
    <row r="18" spans="1:23" ht="18.75" x14ac:dyDescent="0.2">
      <c r="G18" s="27"/>
      <c r="H18" s="40" t="s">
        <v>114</v>
      </c>
      <c r="I18" s="4">
        <f>I17/J17</f>
        <v>0.14030197645028827</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6.0196199999999997</v>
      </c>
      <c r="M21" s="51">
        <v>1255.527</v>
      </c>
      <c r="N21" s="51">
        <v>217.3304</v>
      </c>
      <c r="O21" s="29"/>
      <c r="P21" s="26"/>
      <c r="Q21" s="19" t="s">
        <v>38</v>
      </c>
      <c r="R21" s="124" t="s">
        <v>39</v>
      </c>
      <c r="S21" s="125"/>
      <c r="T21" s="125"/>
      <c r="U21" s="125"/>
      <c r="V21" s="126"/>
      <c r="W21" s="21" t="s">
        <v>41</v>
      </c>
    </row>
    <row r="22" spans="1:23" ht="18.75" customHeight="1" x14ac:dyDescent="0.2">
      <c r="G22" s="27"/>
      <c r="H22" s="40" t="s">
        <v>107</v>
      </c>
      <c r="I22" s="4">
        <f>10^(L21-(M21/((N21-273)+I27)))</f>
        <v>3.3196317665690143</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0.54</v>
      </c>
      <c r="N25" s="51">
        <v>887</v>
      </c>
      <c r="O25" s="29"/>
      <c r="P25" s="26"/>
      <c r="Q25" s="19" t="s">
        <v>40</v>
      </c>
      <c r="R25" s="124" t="s">
        <v>51</v>
      </c>
      <c r="S25" s="125"/>
      <c r="T25" s="125"/>
      <c r="U25" s="125"/>
      <c r="V25" s="126"/>
      <c r="W25" s="21" t="s">
        <v>67</v>
      </c>
    </row>
    <row r="26" spans="1:23" ht="15.75" x14ac:dyDescent="0.2">
      <c r="G26" s="27"/>
      <c r="H26" s="42" t="s">
        <v>109</v>
      </c>
      <c r="I26" s="16">
        <f>0.44*M29</f>
        <v>123.59599999999999</v>
      </c>
      <c r="J26" s="16">
        <f>0.56*I31</f>
        <v>158.00299200000001</v>
      </c>
      <c r="K26" s="16">
        <f>0.00503*M25*N25</f>
        <v>2.4092694000000003</v>
      </c>
      <c r="O26" s="29"/>
      <c r="P26" s="26"/>
      <c r="R26" s="25"/>
      <c r="S26" s="25"/>
      <c r="T26" s="25"/>
      <c r="U26" s="25"/>
      <c r="V26" s="25"/>
    </row>
    <row r="27" spans="1:23" ht="18.75" x14ac:dyDescent="0.2">
      <c r="G27" s="27"/>
      <c r="H27" s="40" t="s">
        <v>105</v>
      </c>
      <c r="I27" s="4">
        <f>I26+J26+K26</f>
        <v>284.00826140000004</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280.89999999999998</v>
      </c>
      <c r="N29" s="11">
        <f>M25</f>
        <v>0.54</v>
      </c>
      <c r="O29" s="29"/>
      <c r="P29" s="26"/>
      <c r="Q29" s="19" t="s">
        <v>46</v>
      </c>
      <c r="R29" s="124" t="s">
        <v>53</v>
      </c>
      <c r="S29" s="125"/>
      <c r="T29" s="125"/>
      <c r="U29" s="125"/>
      <c r="V29" s="126"/>
      <c r="W29" s="21" t="s">
        <v>67</v>
      </c>
    </row>
    <row r="30" spans="1:23" ht="15.75" x14ac:dyDescent="0.2">
      <c r="G30" s="27"/>
      <c r="H30" s="42" t="s">
        <v>106</v>
      </c>
      <c r="I30" s="16">
        <f>M29</f>
        <v>280.89999999999998</v>
      </c>
      <c r="J30" s="16">
        <f>3.33*N29</f>
        <v>1.7982000000000002</v>
      </c>
      <c r="K30" s="16">
        <f>-0.55</f>
        <v>-0.55000000000000004</v>
      </c>
      <c r="O30" s="29"/>
      <c r="P30" s="26"/>
      <c r="R30" s="25"/>
      <c r="S30" s="25"/>
      <c r="T30" s="25"/>
      <c r="U30" s="25"/>
      <c r="V30" s="25"/>
    </row>
    <row r="31" spans="1:23" ht="18.75" x14ac:dyDescent="0.2">
      <c r="G31" s="27"/>
      <c r="H31" s="40" t="s">
        <v>104</v>
      </c>
      <c r="I31" s="4">
        <f>I30+J30+K30</f>
        <v>282.14819999999997</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2.0027586422878611E-2</v>
      </c>
      <c r="J33" s="16">
        <f>I41-N34</f>
        <v>0.99503571704594562</v>
      </c>
      <c r="K33" s="16">
        <f>M34-I22</f>
        <v>97.98036823343098</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3.0183046490913329E-2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7.4241900000000003</v>
      </c>
      <c r="L36" s="11" t="s">
        <v>8</v>
      </c>
      <c r="M36" s="11" t="s">
        <v>50</v>
      </c>
      <c r="N36" s="11" t="s">
        <v>118</v>
      </c>
      <c r="O36" s="29"/>
      <c r="P36" s="26"/>
      <c r="R36" s="25"/>
      <c r="S36" s="25"/>
      <c r="T36" s="25"/>
      <c r="U36" s="25"/>
      <c r="V36" s="25"/>
    </row>
    <row r="37" spans="1:23" ht="38.25" x14ac:dyDescent="0.2">
      <c r="G37" s="27"/>
      <c r="H37" s="40" t="s">
        <v>119</v>
      </c>
      <c r="I37" s="4">
        <f>I36+J36</f>
        <v>13.11219</v>
      </c>
      <c r="J37" s="3"/>
      <c r="L37" s="11">
        <f>M25</f>
        <v>0.54</v>
      </c>
      <c r="M37" s="11">
        <f>N25</f>
        <v>887</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3.9710928681499329</v>
      </c>
      <c r="J40" s="16">
        <f>10^(L41-(M41/((I45-273)+N41)))</f>
        <v>2.7605959861039873</v>
      </c>
      <c r="L40" s="11" t="s">
        <v>1</v>
      </c>
      <c r="M40" s="11" t="s">
        <v>2</v>
      </c>
      <c r="N40" s="11" t="s">
        <v>3</v>
      </c>
      <c r="O40" s="29"/>
      <c r="P40" s="26"/>
      <c r="R40" s="25"/>
      <c r="S40" s="25"/>
      <c r="T40" s="25"/>
      <c r="U40" s="25"/>
      <c r="V40" s="25"/>
    </row>
    <row r="41" spans="1:23" ht="69.75" x14ac:dyDescent="0.2">
      <c r="G41" s="27"/>
      <c r="H41" s="40" t="s">
        <v>125</v>
      </c>
      <c r="I41" s="4">
        <f>I40-J40</f>
        <v>1.2104968820459456</v>
      </c>
      <c r="J41" s="3"/>
      <c r="L41" s="11">
        <f>L21</f>
        <v>6.0196199999999997</v>
      </c>
      <c r="M41" s="11">
        <f>M21</f>
        <v>1255.527</v>
      </c>
      <c r="N41" s="11">
        <f>N21</f>
        <v>217.3304</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287.28630890000005</v>
      </c>
      <c r="J44" s="2"/>
      <c r="O44" s="29"/>
      <c r="P44" s="26"/>
      <c r="R44" s="25"/>
      <c r="S44" s="25"/>
      <c r="T44" s="25"/>
      <c r="U44" s="25"/>
      <c r="V44" s="25"/>
    </row>
    <row r="45" spans="1:23" ht="25.5" x14ac:dyDescent="0.2">
      <c r="A45" s="128" t="s">
        <v>122</v>
      </c>
      <c r="B45" s="128"/>
      <c r="C45" s="128"/>
      <c r="G45" s="27"/>
      <c r="H45" s="40" t="s">
        <v>124</v>
      </c>
      <c r="I45" s="4">
        <f>I27-(0.25*I37)</f>
        <v>280.73021390000002</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1.8949328886858074</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0.52772317477350339</v>
      </c>
      <c r="J50" s="4"/>
      <c r="M50" s="11">
        <f>I22</f>
        <v>3.3196317665690143</v>
      </c>
      <c r="N50" s="11">
        <f>N13</f>
        <v>2.42</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47" priority="12" operator="notBetween">
      <formula>0</formula>
      <formula>100</formula>
    </cfRule>
  </conditionalFormatting>
  <conditionalFormatting sqref="N13">
    <cfRule type="cellIs" dxfId="46" priority="11" operator="notBetween">
      <formula>0</formula>
      <formula>100</formula>
    </cfRule>
  </conditionalFormatting>
  <conditionalFormatting sqref="N16">
    <cfRule type="cellIs" dxfId="45" priority="10" operator="notBetween">
      <formula>0</formula>
      <formula>1000</formula>
    </cfRule>
  </conditionalFormatting>
  <conditionalFormatting sqref="L21">
    <cfRule type="cellIs" dxfId="44" priority="9" operator="notBetween">
      <formula>0.1</formula>
      <formula>10</formula>
    </cfRule>
  </conditionalFormatting>
  <conditionalFormatting sqref="M21">
    <cfRule type="cellIs" dxfId="43" priority="8" operator="notBetween">
      <formula>500</formula>
      <formula>3000</formula>
    </cfRule>
  </conditionalFormatting>
  <conditionalFormatting sqref="N21">
    <cfRule type="cellIs" dxfId="42" priority="7" operator="notBetween">
      <formula>100</formula>
      <formula>300</formula>
    </cfRule>
  </conditionalFormatting>
  <conditionalFormatting sqref="M25">
    <cfRule type="cellIs" dxfId="41" priority="6" operator="notBetween">
      <formula>0</formula>
      <formula>1</formula>
    </cfRule>
  </conditionalFormatting>
  <conditionalFormatting sqref="N25">
    <cfRule type="cellIs" dxfId="40" priority="5" operator="notBetween">
      <formula>0</formula>
      <formula>1500</formula>
    </cfRule>
  </conditionalFormatting>
  <conditionalFormatting sqref="M29">
    <cfRule type="cellIs" dxfId="39" priority="4" operator="notBetween">
      <formula>263</formula>
      <formula>303</formula>
    </cfRule>
  </conditionalFormatting>
  <conditionalFormatting sqref="N37">
    <cfRule type="cellIs" dxfId="38" priority="3" operator="notBetween">
      <formula>0</formula>
      <formula>30</formula>
    </cfRule>
  </conditionalFormatting>
  <conditionalFormatting sqref="M13:N13 N16 L21:N21 M25:N25 M29 N37">
    <cfRule type="containsText" dxfId="37" priority="2" operator="containsText" text="x">
      <formula>NOT(ISERROR(SEARCH("x",L13)))</formula>
    </cfRule>
  </conditionalFormatting>
  <conditionalFormatting sqref="A5">
    <cfRule type="containsText" dxfId="36"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08DD-7D51-40AE-B4A5-7B3E9C1776EF}">
  <sheetPr>
    <tabColor theme="7" tint="0.39997558519241921"/>
  </sheetPr>
  <dimension ref="A1:Z136"/>
  <sheetViews>
    <sheetView workbookViewId="0">
      <selection activeCell="H2" sqref="H2"/>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15</v>
      </c>
      <c r="B5" s="5">
        <f>N16</f>
        <v>171</v>
      </c>
      <c r="C5" s="147">
        <f>I22</f>
        <v>5.5033878310218651E-2</v>
      </c>
      <c r="D5" s="147"/>
      <c r="E5" s="147"/>
      <c r="F5" s="5">
        <f>I18</f>
        <v>2.3337672521997989E-3</v>
      </c>
      <c r="G5" s="5">
        <f>I13</f>
        <v>16.702546734380181</v>
      </c>
      <c r="H5" s="5">
        <f>N13</f>
        <v>3.43</v>
      </c>
      <c r="I5" s="5">
        <f>I50</f>
        <v>0.97940453783811443</v>
      </c>
      <c r="J5" s="5">
        <f>I40</f>
        <v>6.7160902945086767E-2</v>
      </c>
      <c r="K5" s="5">
        <f>J40</f>
        <v>4.4897912321132369E-2</v>
      </c>
      <c r="L5" s="5">
        <f>J5-K5</f>
        <v>2.2262990623954398E-2</v>
      </c>
      <c r="M5" s="5">
        <f>I34</f>
        <v>1.818650428495576E-2</v>
      </c>
      <c r="N5" s="7">
        <f>I9</f>
        <v>0.25342207505952635</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14</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16.702546734380181</v>
      </c>
      <c r="K8" s="16">
        <f>I18</f>
        <v>2.3337672521997989E-3</v>
      </c>
      <c r="L8" s="49">
        <f>I34</f>
        <v>1.818650428495576E-2</v>
      </c>
      <c r="M8" s="49">
        <f>I50</f>
        <v>0.97940453783811443</v>
      </c>
      <c r="O8" s="29"/>
      <c r="P8" s="26"/>
      <c r="Q8" s="20">
        <v>365</v>
      </c>
      <c r="R8" s="23" t="s">
        <v>92</v>
      </c>
      <c r="S8" s="24"/>
      <c r="T8" s="24"/>
      <c r="U8" s="24"/>
      <c r="V8" s="24"/>
      <c r="W8" s="22" t="s">
        <v>89</v>
      </c>
      <c r="X8" s="6"/>
      <c r="Y8" s="6"/>
      <c r="Z8" s="6"/>
    </row>
    <row r="9" spans="1:26" ht="18.75" x14ac:dyDescent="0.2">
      <c r="G9" s="27"/>
      <c r="H9" s="40" t="s">
        <v>140</v>
      </c>
      <c r="I9" s="2">
        <f>I8*J8*K8*L8*M8</f>
        <v>0.25342207505952635</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1.5500250000000002</v>
      </c>
      <c r="K12" s="16">
        <f>N13</f>
        <v>3.43</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16.702546734380181</v>
      </c>
      <c r="L13" s="11">
        <f>PI()</f>
        <v>3.1415926535897931</v>
      </c>
      <c r="M13" s="50">
        <v>1.2450000000000001</v>
      </c>
      <c r="N13" s="51">
        <v>3.43</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171</v>
      </c>
      <c r="J16" s="25" t="s">
        <v>117</v>
      </c>
      <c r="K16" s="16"/>
      <c r="N16" s="52">
        <v>171</v>
      </c>
      <c r="O16" s="29"/>
      <c r="P16" s="26"/>
      <c r="R16" s="25"/>
      <c r="S16" s="25"/>
      <c r="T16" s="25"/>
      <c r="U16" s="25"/>
      <c r="V16" s="25"/>
    </row>
    <row r="17" spans="1:23" ht="38.25" x14ac:dyDescent="0.2">
      <c r="G17" s="27"/>
      <c r="H17" s="42" t="s">
        <v>115</v>
      </c>
      <c r="I17" s="16">
        <f>99.8*I22</f>
        <v>5.4923810553598216</v>
      </c>
      <c r="J17" s="16">
        <f>8.3143*I27</f>
        <v>2353.4399371585691</v>
      </c>
      <c r="O17" s="29"/>
      <c r="P17" s="26"/>
      <c r="Q17" s="19" t="s">
        <v>62</v>
      </c>
      <c r="R17" s="124" t="s">
        <v>63</v>
      </c>
      <c r="S17" s="125"/>
      <c r="T17" s="125"/>
      <c r="U17" s="125"/>
      <c r="V17" s="126"/>
      <c r="W17" s="21" t="s">
        <v>142</v>
      </c>
    </row>
    <row r="18" spans="1:23" ht="18.75" x14ac:dyDescent="0.2">
      <c r="G18" s="27"/>
      <c r="H18" s="40" t="s">
        <v>114</v>
      </c>
      <c r="I18" s="4">
        <f>I17/J17</f>
        <v>2.3337672521997989E-3</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6.7150600000000003</v>
      </c>
      <c r="M21" s="51">
        <v>2009.16</v>
      </c>
      <c r="N21" s="51">
        <v>241.89099999999999</v>
      </c>
      <c r="O21" s="29"/>
      <c r="P21" s="26"/>
      <c r="Q21" s="19" t="s">
        <v>38</v>
      </c>
      <c r="R21" s="124" t="s">
        <v>39</v>
      </c>
      <c r="S21" s="125"/>
      <c r="T21" s="125"/>
      <c r="U21" s="125"/>
      <c r="V21" s="126"/>
      <c r="W21" s="21" t="s">
        <v>41</v>
      </c>
    </row>
    <row r="22" spans="1:23" ht="18.75" customHeight="1" x14ac:dyDescent="0.2">
      <c r="G22" s="27"/>
      <c r="H22" s="40" t="s">
        <v>107</v>
      </c>
      <c r="I22" s="4">
        <f>10^(L21-(M21/((N21-273)+I27)))</f>
        <v>5.5033878310218651E-2</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0.39</v>
      </c>
      <c r="N25" s="51">
        <v>887</v>
      </c>
      <c r="O25" s="29"/>
      <c r="P25" s="26"/>
      <c r="Q25" s="19" t="s">
        <v>40</v>
      </c>
      <c r="R25" s="124" t="s">
        <v>51</v>
      </c>
      <c r="S25" s="125"/>
      <c r="T25" s="125"/>
      <c r="U25" s="125"/>
      <c r="V25" s="126"/>
      <c r="W25" s="21" t="s">
        <v>67</v>
      </c>
    </row>
    <row r="26" spans="1:23" ht="15.75" x14ac:dyDescent="0.2">
      <c r="G26" s="27"/>
      <c r="H26" s="42" t="s">
        <v>109</v>
      </c>
      <c r="I26" s="16">
        <f>0.44*M29</f>
        <v>123.59599999999999</v>
      </c>
      <c r="J26" s="16">
        <f>0.56*I31</f>
        <v>157.72327199999998</v>
      </c>
      <c r="K26" s="16">
        <f>0.00503*M25*N25</f>
        <v>1.7400278999999998</v>
      </c>
      <c r="O26" s="29"/>
      <c r="P26" s="26"/>
      <c r="R26" s="25"/>
      <c r="S26" s="25"/>
      <c r="T26" s="25"/>
      <c r="U26" s="25"/>
      <c r="V26" s="25"/>
    </row>
    <row r="27" spans="1:23" ht="18.75" x14ac:dyDescent="0.2">
      <c r="G27" s="27"/>
      <c r="H27" s="40" t="s">
        <v>105</v>
      </c>
      <c r="I27" s="4">
        <f>I26+J26+K26</f>
        <v>283.05929989999993</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280.89999999999998</v>
      </c>
      <c r="N29" s="11">
        <f>M25</f>
        <v>0.39</v>
      </c>
      <c r="O29" s="29"/>
      <c r="P29" s="26"/>
      <c r="Q29" s="19" t="s">
        <v>46</v>
      </c>
      <c r="R29" s="124" t="s">
        <v>53</v>
      </c>
      <c r="S29" s="125"/>
      <c r="T29" s="125"/>
      <c r="U29" s="125"/>
      <c r="V29" s="126"/>
      <c r="W29" s="21" t="s">
        <v>67</v>
      </c>
    </row>
    <row r="30" spans="1:23" ht="15.75" x14ac:dyDescent="0.2">
      <c r="G30" s="27"/>
      <c r="H30" s="42" t="s">
        <v>106</v>
      </c>
      <c r="I30" s="16">
        <f>M29</f>
        <v>280.89999999999998</v>
      </c>
      <c r="J30" s="16">
        <f>3.33*N29</f>
        <v>1.2987</v>
      </c>
      <c r="K30" s="16">
        <f>-0.55</f>
        <v>-0.55000000000000004</v>
      </c>
      <c r="O30" s="29"/>
      <c r="P30" s="26"/>
      <c r="R30" s="25"/>
      <c r="S30" s="25"/>
      <c r="T30" s="25"/>
      <c r="U30" s="25"/>
      <c r="V30" s="25"/>
    </row>
    <row r="31" spans="1:23" ht="18.75" x14ac:dyDescent="0.2">
      <c r="G31" s="27"/>
      <c r="H31" s="40" t="s">
        <v>104</v>
      </c>
      <c r="I31" s="4">
        <f>I30+J30+K30</f>
        <v>281.64869999999996</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2.0094729274076049E-2</v>
      </c>
      <c r="J33" s="16">
        <f>I41-N34</f>
        <v>-0.19319817437604561</v>
      </c>
      <c r="K33" s="16">
        <f>M34-I22</f>
        <v>101.24496612168979</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1.818650428495576E-2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5.3619149999999998</v>
      </c>
      <c r="L36" s="11" t="s">
        <v>8</v>
      </c>
      <c r="M36" s="11" t="s">
        <v>50</v>
      </c>
      <c r="N36" s="11" t="s">
        <v>118</v>
      </c>
      <c r="O36" s="29"/>
      <c r="P36" s="26"/>
      <c r="R36" s="25"/>
      <c r="S36" s="25"/>
      <c r="T36" s="25"/>
      <c r="U36" s="25"/>
      <c r="V36" s="25"/>
    </row>
    <row r="37" spans="1:23" ht="38.25" x14ac:dyDescent="0.2">
      <c r="G37" s="27"/>
      <c r="H37" s="40" t="s">
        <v>119</v>
      </c>
      <c r="I37" s="4">
        <f>I36+J36</f>
        <v>11.049914999999999</v>
      </c>
      <c r="J37" s="3"/>
      <c r="L37" s="11">
        <f>M25</f>
        <v>0.39</v>
      </c>
      <c r="M37" s="11">
        <f>N25</f>
        <v>887</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6.7160902945086767E-2</v>
      </c>
      <c r="J40" s="16">
        <f>10^(L41-(M41/((I45-273)+N41)))</f>
        <v>4.4897912321132369E-2</v>
      </c>
      <c r="L40" s="11" t="s">
        <v>1</v>
      </c>
      <c r="M40" s="11" t="s">
        <v>2</v>
      </c>
      <c r="N40" s="11" t="s">
        <v>3</v>
      </c>
      <c r="O40" s="29"/>
      <c r="P40" s="26"/>
      <c r="R40" s="25"/>
      <c r="S40" s="25"/>
      <c r="T40" s="25"/>
      <c r="U40" s="25"/>
      <c r="V40" s="25"/>
    </row>
    <row r="41" spans="1:23" ht="69.75" x14ac:dyDescent="0.2">
      <c r="G41" s="27"/>
      <c r="H41" s="40" t="s">
        <v>125</v>
      </c>
      <c r="I41" s="4">
        <f>I40-J40</f>
        <v>2.2262990623954398E-2</v>
      </c>
      <c r="J41" s="3"/>
      <c r="L41" s="11">
        <f>L21</f>
        <v>6.7150600000000003</v>
      </c>
      <c r="M41" s="11">
        <f>M21</f>
        <v>2009.16</v>
      </c>
      <c r="N41" s="11">
        <f>N21</f>
        <v>241.89099999999999</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285.82177864999994</v>
      </c>
      <c r="J44" s="2"/>
      <c r="O44" s="29"/>
      <c r="P44" s="26"/>
      <c r="R44" s="25"/>
      <c r="S44" s="25"/>
      <c r="T44" s="25"/>
      <c r="U44" s="25"/>
      <c r="V44" s="25"/>
    </row>
    <row r="45" spans="1:23" ht="25.5" x14ac:dyDescent="0.2">
      <c r="A45" s="128" t="s">
        <v>122</v>
      </c>
      <c r="B45" s="128"/>
      <c r="C45" s="128"/>
      <c r="G45" s="27"/>
      <c r="H45" s="40" t="s">
        <v>124</v>
      </c>
      <c r="I45" s="4">
        <f>I27-(0.25*I37)</f>
        <v>280.29682114999991</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1.0210285549700913</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0.97940453783811443</v>
      </c>
      <c r="J50" s="4"/>
      <c r="M50" s="11">
        <f>I22</f>
        <v>5.5033878310218651E-2</v>
      </c>
      <c r="N50" s="11">
        <f>N13</f>
        <v>3.43</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35" priority="12" operator="notBetween">
      <formula>0</formula>
      <formula>100</formula>
    </cfRule>
  </conditionalFormatting>
  <conditionalFormatting sqref="N13">
    <cfRule type="cellIs" dxfId="34" priority="11" operator="notBetween">
      <formula>0</formula>
      <formula>100</formula>
    </cfRule>
  </conditionalFormatting>
  <conditionalFormatting sqref="N16">
    <cfRule type="cellIs" dxfId="33" priority="10" operator="notBetween">
      <formula>0</formula>
      <formula>1000</formula>
    </cfRule>
  </conditionalFormatting>
  <conditionalFormatting sqref="L21">
    <cfRule type="cellIs" dxfId="32" priority="9" operator="notBetween">
      <formula>0.1</formula>
      <formula>10</formula>
    </cfRule>
  </conditionalFormatting>
  <conditionalFormatting sqref="M21">
    <cfRule type="cellIs" dxfId="31" priority="8" operator="notBetween">
      <formula>500</formula>
      <formula>3000</formula>
    </cfRule>
  </conditionalFormatting>
  <conditionalFormatting sqref="N21">
    <cfRule type="cellIs" dxfId="30" priority="7" operator="notBetween">
      <formula>100</formula>
      <formula>300</formula>
    </cfRule>
  </conditionalFormatting>
  <conditionalFormatting sqref="M25">
    <cfRule type="cellIs" dxfId="29" priority="6" operator="notBetween">
      <formula>0</formula>
      <formula>1</formula>
    </cfRule>
  </conditionalFormatting>
  <conditionalFormatting sqref="N25">
    <cfRule type="cellIs" dxfId="28" priority="5" operator="notBetween">
      <formula>0</formula>
      <formula>1500</formula>
    </cfRule>
  </conditionalFormatting>
  <conditionalFormatting sqref="M29">
    <cfRule type="cellIs" dxfId="27" priority="4" operator="notBetween">
      <formula>263</formula>
      <formula>303</formula>
    </cfRule>
  </conditionalFormatting>
  <conditionalFormatting sqref="N37">
    <cfRule type="cellIs" dxfId="26" priority="3" operator="notBetween">
      <formula>0</formula>
      <formula>30</formula>
    </cfRule>
  </conditionalFormatting>
  <conditionalFormatting sqref="M13:N13 N16 L21:N21 M25:N25 M29 N37">
    <cfRule type="containsText" dxfId="25" priority="2" operator="containsText" text="x">
      <formula>NOT(ISERROR(SEARCH("x",L13)))</formula>
    </cfRule>
  </conditionalFormatting>
  <conditionalFormatting sqref="A5">
    <cfRule type="containsText" dxfId="24"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0FCA-E9AE-47D4-910E-796F309EE119}">
  <sheetPr>
    <tabColor theme="7" tint="0.39997558519241921"/>
  </sheetPr>
  <dimension ref="A1:Z136"/>
  <sheetViews>
    <sheetView workbookViewId="0">
      <selection activeCell="H2" sqref="H2"/>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15</v>
      </c>
      <c r="B5" s="5">
        <f>N16</f>
        <v>171</v>
      </c>
      <c r="C5" s="147">
        <f>I22</f>
        <v>4.589504368435611E-2</v>
      </c>
      <c r="D5" s="147"/>
      <c r="E5" s="147"/>
      <c r="F5" s="5">
        <f>I18</f>
        <v>1.9633392704713668E-3</v>
      </c>
      <c r="G5" s="5">
        <f>I13</f>
        <v>9.8919453547287954</v>
      </c>
      <c r="H5" s="5">
        <f>N13</f>
        <v>1.625</v>
      </c>
      <c r="I5" s="5">
        <f>I50</f>
        <v>0.99176030633033263</v>
      </c>
      <c r="J5" s="5">
        <f>I40</f>
        <v>5.0980923856587604E-2</v>
      </c>
      <c r="K5" s="5">
        <f>J40</f>
        <v>4.1266780963889534E-2</v>
      </c>
      <c r="L5" s="5">
        <f>J5-K5</f>
        <v>9.7141428926980702E-3</v>
      </c>
      <c r="M5" s="5">
        <f>I34</f>
        <v>1.8239439155867267E-2</v>
      </c>
      <c r="N5" s="7">
        <f>I9</f>
        <v>0.12822955313819645</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17</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9.8919453547287954</v>
      </c>
      <c r="K8" s="16">
        <f>I18</f>
        <v>1.9633392704713668E-3</v>
      </c>
      <c r="L8" s="49">
        <f>I34</f>
        <v>1.8239439155867267E-2</v>
      </c>
      <c r="M8" s="49">
        <f>I50</f>
        <v>0.99176030633033263</v>
      </c>
      <c r="O8" s="29"/>
      <c r="P8" s="26"/>
      <c r="Q8" s="20">
        <v>365</v>
      </c>
      <c r="R8" s="23" t="s">
        <v>92</v>
      </c>
      <c r="S8" s="24"/>
      <c r="T8" s="24"/>
      <c r="U8" s="24"/>
      <c r="V8" s="24"/>
      <c r="W8" s="22" t="s">
        <v>89</v>
      </c>
      <c r="X8" s="6"/>
      <c r="Y8" s="6"/>
      <c r="Z8" s="6"/>
    </row>
    <row r="9" spans="1:26" ht="18.75" x14ac:dyDescent="0.2">
      <c r="G9" s="27"/>
      <c r="H9" s="40" t="s">
        <v>140</v>
      </c>
      <c r="I9" s="2">
        <f>I8*J8*K8*L8*M8</f>
        <v>0.12822955313819645</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1.9376639999999998</v>
      </c>
      <c r="K12" s="16">
        <f>N13</f>
        <v>1.625</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9.8919453547287954</v>
      </c>
      <c r="L13" s="11">
        <f>PI()</f>
        <v>3.1415926535897931</v>
      </c>
      <c r="M13" s="50">
        <v>1.3919999999999999</v>
      </c>
      <c r="N13" s="51">
        <v>1.625</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171</v>
      </c>
      <c r="J16" s="25" t="s">
        <v>117</v>
      </c>
      <c r="K16" s="16"/>
      <c r="N16" s="52">
        <v>171</v>
      </c>
      <c r="O16" s="29"/>
      <c r="P16" s="26"/>
      <c r="R16" s="25"/>
      <c r="S16" s="25"/>
      <c r="T16" s="25"/>
      <c r="U16" s="25"/>
      <c r="V16" s="25"/>
    </row>
    <row r="17" spans="1:23" ht="38.25" x14ac:dyDescent="0.2">
      <c r="G17" s="27"/>
      <c r="H17" s="42" t="s">
        <v>115</v>
      </c>
      <c r="I17" s="16">
        <f>99.8*I22</f>
        <v>4.5803253596987394</v>
      </c>
      <c r="J17" s="16">
        <f>8.3143*I27</f>
        <v>2332.9260655999997</v>
      </c>
      <c r="O17" s="29"/>
      <c r="P17" s="26"/>
      <c r="Q17" s="19" t="s">
        <v>62</v>
      </c>
      <c r="R17" s="124" t="s">
        <v>63</v>
      </c>
      <c r="S17" s="125"/>
      <c r="T17" s="125"/>
      <c r="U17" s="125"/>
      <c r="V17" s="126"/>
      <c r="W17" s="21" t="s">
        <v>142</v>
      </c>
    </row>
    <row r="18" spans="1:23" ht="18.75" x14ac:dyDescent="0.2">
      <c r="G18" s="27"/>
      <c r="H18" s="40" t="s">
        <v>114</v>
      </c>
      <c r="I18" s="4">
        <f>I17/J17</f>
        <v>1.9633392704713668E-3</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6.7150600000000003</v>
      </c>
      <c r="M21" s="51">
        <v>2009.16</v>
      </c>
      <c r="N21" s="51">
        <v>241.89099999999999</v>
      </c>
      <c r="O21" s="29"/>
      <c r="P21" s="26"/>
      <c r="Q21" s="19" t="s">
        <v>38</v>
      </c>
      <c r="R21" s="124" t="s">
        <v>39</v>
      </c>
      <c r="S21" s="125"/>
      <c r="T21" s="125"/>
      <c r="U21" s="125"/>
      <c r="V21" s="126"/>
      <c r="W21" s="21" t="s">
        <v>41</v>
      </c>
    </row>
    <row r="22" spans="1:23" ht="18.75" customHeight="1" x14ac:dyDescent="0.2">
      <c r="G22" s="27"/>
      <c r="H22" s="40" t="s">
        <v>107</v>
      </c>
      <c r="I22" s="4">
        <f>10^(L21-(M21/((N21-273)+I27)))</f>
        <v>4.589504368435611E-2</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v>
      </c>
      <c r="N25" s="51">
        <v>0</v>
      </c>
      <c r="O25" s="29"/>
      <c r="P25" s="26"/>
      <c r="Q25" s="19" t="s">
        <v>40</v>
      </c>
      <c r="R25" s="124" t="s">
        <v>51</v>
      </c>
      <c r="S25" s="125"/>
      <c r="T25" s="125"/>
      <c r="U25" s="125"/>
      <c r="V25" s="126"/>
      <c r="W25" s="21" t="s">
        <v>67</v>
      </c>
    </row>
    <row r="26" spans="1:23" ht="15.75" x14ac:dyDescent="0.2">
      <c r="G26" s="27"/>
      <c r="H26" s="42" t="s">
        <v>109</v>
      </c>
      <c r="I26" s="16">
        <f>0.44*M29</f>
        <v>123.59599999999999</v>
      </c>
      <c r="J26" s="16">
        <f>0.56*I31</f>
        <v>156.99600000000001</v>
      </c>
      <c r="K26" s="16">
        <f>0.00503*M25*N25</f>
        <v>0</v>
      </c>
      <c r="O26" s="29"/>
      <c r="P26" s="26"/>
      <c r="R26" s="25"/>
      <c r="S26" s="25"/>
      <c r="T26" s="25"/>
      <c r="U26" s="25"/>
      <c r="V26" s="25"/>
    </row>
    <row r="27" spans="1:23" ht="18.75" x14ac:dyDescent="0.2">
      <c r="G27" s="27"/>
      <c r="H27" s="40" t="s">
        <v>105</v>
      </c>
      <c r="I27" s="4">
        <f>I26+J26+K26</f>
        <v>280.59199999999998</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280.89999999999998</v>
      </c>
      <c r="N29" s="11">
        <f>M25</f>
        <v>0</v>
      </c>
      <c r="O29" s="29"/>
      <c r="P29" s="26"/>
      <c r="Q29" s="19" t="s">
        <v>46</v>
      </c>
      <c r="R29" s="124" t="s">
        <v>53</v>
      </c>
      <c r="S29" s="125"/>
      <c r="T29" s="125"/>
      <c r="U29" s="125"/>
      <c r="V29" s="126"/>
      <c r="W29" s="21" t="s">
        <v>67</v>
      </c>
    </row>
    <row r="30" spans="1:23" ht="15.75" x14ac:dyDescent="0.2">
      <c r="G30" s="27"/>
      <c r="H30" s="42" t="s">
        <v>106</v>
      </c>
      <c r="I30" s="16">
        <f>M29</f>
        <v>280.89999999999998</v>
      </c>
      <c r="J30" s="16">
        <f>3.33*N29</f>
        <v>0</v>
      </c>
      <c r="K30" s="16">
        <f>-0.55</f>
        <v>-0.55000000000000004</v>
      </c>
      <c r="O30" s="29"/>
      <c r="P30" s="26"/>
      <c r="R30" s="25"/>
      <c r="S30" s="25"/>
      <c r="T30" s="25"/>
      <c r="U30" s="25"/>
      <c r="V30" s="25"/>
    </row>
    <row r="31" spans="1:23" ht="18.75" x14ac:dyDescent="0.2">
      <c r="G31" s="27"/>
      <c r="H31" s="40" t="s">
        <v>104</v>
      </c>
      <c r="I31" s="4">
        <f>I30+J30+K30</f>
        <v>280.34999999999997</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2.0271426127615899E-2</v>
      </c>
      <c r="J33" s="16">
        <f>I41-N34</f>
        <v>-0.20574702210730195</v>
      </c>
      <c r="K33" s="16">
        <f>M34-I22</f>
        <v>101.25410495631564</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1.8239439155867267E-2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0</v>
      </c>
      <c r="L36" s="11" t="s">
        <v>8</v>
      </c>
      <c r="M36" s="11" t="s">
        <v>50</v>
      </c>
      <c r="N36" s="11" t="s">
        <v>118</v>
      </c>
      <c r="O36" s="29"/>
      <c r="P36" s="26"/>
      <c r="R36" s="25"/>
      <c r="S36" s="25"/>
      <c r="T36" s="25"/>
      <c r="U36" s="25"/>
      <c r="V36" s="25"/>
    </row>
    <row r="37" spans="1:23" ht="38.25" x14ac:dyDescent="0.2">
      <c r="G37" s="27"/>
      <c r="H37" s="40" t="s">
        <v>119</v>
      </c>
      <c r="I37" s="4">
        <f>I36+J36</f>
        <v>5.6879999999999997</v>
      </c>
      <c r="J37" s="3"/>
      <c r="L37" s="11">
        <f>M25</f>
        <v>0</v>
      </c>
      <c r="M37" s="11">
        <f>N25</f>
        <v>0</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5.0980923856587604E-2</v>
      </c>
      <c r="J40" s="16">
        <f>10^(L41-(M41/((I45-273)+N41)))</f>
        <v>4.1266780963889534E-2</v>
      </c>
      <c r="L40" s="11" t="s">
        <v>1</v>
      </c>
      <c r="M40" s="11" t="s">
        <v>2</v>
      </c>
      <c r="N40" s="11" t="s">
        <v>3</v>
      </c>
      <c r="O40" s="29"/>
      <c r="P40" s="26"/>
      <c r="R40" s="25"/>
      <c r="S40" s="25"/>
      <c r="T40" s="25"/>
      <c r="U40" s="25"/>
      <c r="V40" s="25"/>
    </row>
    <row r="41" spans="1:23" ht="69.75" x14ac:dyDescent="0.2">
      <c r="G41" s="27"/>
      <c r="H41" s="40" t="s">
        <v>125</v>
      </c>
      <c r="I41" s="4">
        <f>I40-J40</f>
        <v>9.7141428926980702E-3</v>
      </c>
      <c r="J41" s="3"/>
      <c r="L41" s="11">
        <f>L21</f>
        <v>6.7150600000000003</v>
      </c>
      <c r="M41" s="11">
        <f>M21</f>
        <v>2009.16</v>
      </c>
      <c r="N41" s="11">
        <f>N21</f>
        <v>241.89099999999999</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282.01400000000001</v>
      </c>
      <c r="J44" s="2"/>
      <c r="O44" s="29"/>
      <c r="P44" s="26"/>
      <c r="R44" s="25"/>
      <c r="S44" s="25"/>
      <c r="T44" s="25"/>
      <c r="U44" s="25"/>
      <c r="V44" s="25"/>
    </row>
    <row r="45" spans="1:23" ht="25.5" x14ac:dyDescent="0.2">
      <c r="A45" s="128" t="s">
        <v>122</v>
      </c>
      <c r="B45" s="128"/>
      <c r="C45" s="128"/>
      <c r="G45" s="27"/>
      <c r="H45" s="40" t="s">
        <v>124</v>
      </c>
      <c r="I45" s="4">
        <f>I27-(0.25*I37)</f>
        <v>279.16999999999996</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1.0083081502829605</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0.99176030633033263</v>
      </c>
      <c r="J50" s="4"/>
      <c r="M50" s="11">
        <f>I22</f>
        <v>4.589504368435611E-2</v>
      </c>
      <c r="N50" s="11">
        <f>N13</f>
        <v>1.625</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23" priority="12" operator="notBetween">
      <formula>0</formula>
      <formula>100</formula>
    </cfRule>
  </conditionalFormatting>
  <conditionalFormatting sqref="N13">
    <cfRule type="cellIs" dxfId="22" priority="11" operator="notBetween">
      <formula>0</formula>
      <formula>100</formula>
    </cfRule>
  </conditionalFormatting>
  <conditionalFormatting sqref="N16">
    <cfRule type="cellIs" dxfId="21" priority="10" operator="notBetween">
      <formula>0</formula>
      <formula>1000</formula>
    </cfRule>
  </conditionalFormatting>
  <conditionalFormatting sqref="L21">
    <cfRule type="cellIs" dxfId="20" priority="9" operator="notBetween">
      <formula>0.1</formula>
      <formula>10</formula>
    </cfRule>
  </conditionalFormatting>
  <conditionalFormatting sqref="M21">
    <cfRule type="cellIs" dxfId="19" priority="8" operator="notBetween">
      <formula>500</formula>
      <formula>3000</formula>
    </cfRule>
  </conditionalFormatting>
  <conditionalFormatting sqref="N21">
    <cfRule type="cellIs" dxfId="18" priority="7" operator="notBetween">
      <formula>100</formula>
      <formula>300</formula>
    </cfRule>
  </conditionalFormatting>
  <conditionalFormatting sqref="M25">
    <cfRule type="cellIs" dxfId="17" priority="6" operator="notBetween">
      <formula>0</formula>
      <formula>1</formula>
    </cfRule>
  </conditionalFormatting>
  <conditionalFormatting sqref="N25">
    <cfRule type="cellIs" dxfId="16" priority="5" operator="notBetween">
      <formula>0</formula>
      <formula>1500</formula>
    </cfRule>
  </conditionalFormatting>
  <conditionalFormatting sqref="M29">
    <cfRule type="cellIs" dxfId="15" priority="4" operator="notBetween">
      <formula>263</formula>
      <formula>303</formula>
    </cfRule>
  </conditionalFormatting>
  <conditionalFormatting sqref="N37">
    <cfRule type="cellIs" dxfId="14" priority="3" operator="notBetween">
      <formula>0</formula>
      <formula>30</formula>
    </cfRule>
  </conditionalFormatting>
  <conditionalFormatting sqref="M13:N13 N16 L21:N21 M25:N25 M29 N37">
    <cfRule type="containsText" dxfId="13" priority="2" operator="containsText" text="x">
      <formula>NOT(ISERROR(SEARCH("x",L13)))</formula>
    </cfRule>
  </conditionalFormatting>
  <conditionalFormatting sqref="A5">
    <cfRule type="containsText" dxfId="12"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929F-AF6A-4520-BDD6-046314E10C64}">
  <sheetPr>
    <tabColor theme="7" tint="0.39997558519241921"/>
  </sheetPr>
  <dimension ref="A1:Z136"/>
  <sheetViews>
    <sheetView workbookViewId="0">
      <selection activeCell="A5" sqref="A5"/>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t="s">
        <v>132</v>
      </c>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5</v>
      </c>
      <c r="B5" s="5" t="str">
        <f>N16</f>
        <v>x</v>
      </c>
      <c r="C5" s="147" t="e">
        <f>I22</f>
        <v>#VALUE!</v>
      </c>
      <c r="D5" s="147"/>
      <c r="E5" s="147"/>
      <c r="F5" s="5" t="e">
        <f>I18</f>
        <v>#VALUE!</v>
      </c>
      <c r="G5" s="5" t="e">
        <f>I13</f>
        <v>#VALUE!</v>
      </c>
      <c r="H5" s="5" t="str">
        <f>N13</f>
        <v>x</v>
      </c>
      <c r="I5" s="5" t="e">
        <f>I50</f>
        <v>#VALUE!</v>
      </c>
      <c r="J5" s="5" t="e">
        <f>I40</f>
        <v>#VALUE!</v>
      </c>
      <c r="K5" s="5" t="e">
        <f>J40</f>
        <v>#VALUE!</v>
      </c>
      <c r="L5" s="5" t="e">
        <f>J5-K5</f>
        <v>#VALUE!</v>
      </c>
      <c r="M5" s="5" t="e">
        <f>I34</f>
        <v>#VALUE!</v>
      </c>
      <c r="N5" s="7" t="e">
        <f>I9</f>
        <v>#VALUE!</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5</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t="e">
        <f>I13</f>
        <v>#VALUE!</v>
      </c>
      <c r="K8" s="16" t="e">
        <f>I18</f>
        <v>#VALUE!</v>
      </c>
      <c r="L8" s="49" t="e">
        <f>I34</f>
        <v>#VALUE!</v>
      </c>
      <c r="M8" s="49" t="e">
        <f>I50</f>
        <v>#VALUE!</v>
      </c>
      <c r="O8" s="29"/>
      <c r="P8" s="26"/>
      <c r="Q8" s="20">
        <v>365</v>
      </c>
      <c r="R8" s="23" t="s">
        <v>92</v>
      </c>
      <c r="S8" s="24"/>
      <c r="T8" s="24"/>
      <c r="U8" s="24"/>
      <c r="V8" s="24"/>
      <c r="W8" s="22" t="s">
        <v>89</v>
      </c>
      <c r="X8" s="6"/>
      <c r="Y8" s="6"/>
      <c r="Z8" s="6"/>
    </row>
    <row r="9" spans="1:26" ht="18.75" x14ac:dyDescent="0.2">
      <c r="G9" s="27"/>
      <c r="H9" s="40" t="s">
        <v>140</v>
      </c>
      <c r="I9" s="2" t="e">
        <f>I8*J8*K8*L8*M8</f>
        <v>#VALUE!</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t="e">
        <f>M13^2</f>
        <v>#VALUE!</v>
      </c>
      <c r="K12" s="16" t="str">
        <f>N13</f>
        <v>x</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t="e">
        <f>L13*(M13^2)*N13</f>
        <v>#VALUE!</v>
      </c>
      <c r="L13" s="11">
        <f>PI()</f>
        <v>3.1415926535897931</v>
      </c>
      <c r="M13" s="50" t="s">
        <v>5</v>
      </c>
      <c r="N13" s="51" t="s">
        <v>5</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t="str">
        <f>N16</f>
        <v>x</v>
      </c>
      <c r="J16" s="25" t="s">
        <v>117</v>
      </c>
      <c r="K16" s="16"/>
      <c r="N16" s="52" t="s">
        <v>5</v>
      </c>
      <c r="O16" s="29"/>
      <c r="P16" s="26"/>
      <c r="R16" s="25"/>
      <c r="S16" s="25"/>
      <c r="T16" s="25"/>
      <c r="U16" s="25"/>
      <c r="V16" s="25"/>
    </row>
    <row r="17" spans="1:23" ht="38.25" x14ac:dyDescent="0.2">
      <c r="G17" s="27"/>
      <c r="H17" s="42" t="s">
        <v>115</v>
      </c>
      <c r="I17" s="16" t="e">
        <f>99.8*I22</f>
        <v>#VALUE!</v>
      </c>
      <c r="J17" s="16" t="e">
        <f>8.3143*I27</f>
        <v>#VALUE!</v>
      </c>
      <c r="O17" s="29"/>
      <c r="P17" s="26"/>
      <c r="Q17" s="19" t="s">
        <v>62</v>
      </c>
      <c r="R17" s="124" t="s">
        <v>63</v>
      </c>
      <c r="S17" s="125"/>
      <c r="T17" s="125"/>
      <c r="U17" s="125"/>
      <c r="V17" s="126"/>
      <c r="W17" s="21" t="s">
        <v>142</v>
      </c>
    </row>
    <row r="18" spans="1:23" ht="18.75" x14ac:dyDescent="0.2">
      <c r="G18" s="27"/>
      <c r="H18" s="40" t="s">
        <v>114</v>
      </c>
      <c r="I18" s="4" t="e">
        <f>I17/J17</f>
        <v>#VALUE!</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t="s">
        <v>5</v>
      </c>
      <c r="M21" s="51" t="s">
        <v>5</v>
      </c>
      <c r="N21" s="51" t="s">
        <v>5</v>
      </c>
      <c r="O21" s="29"/>
      <c r="P21" s="26"/>
      <c r="Q21" s="19" t="s">
        <v>38</v>
      </c>
      <c r="R21" s="124" t="s">
        <v>39</v>
      </c>
      <c r="S21" s="125"/>
      <c r="T21" s="125"/>
      <c r="U21" s="125"/>
      <c r="V21" s="126"/>
      <c r="W21" s="21" t="s">
        <v>41</v>
      </c>
    </row>
    <row r="22" spans="1:23" ht="18.75" customHeight="1" x14ac:dyDescent="0.2">
      <c r="G22" s="27"/>
      <c r="H22" s="40" t="s">
        <v>107</v>
      </c>
      <c r="I22" s="4" t="e">
        <f>10^(L21-(M21/((N21-273)+I27)))</f>
        <v>#VALUE!</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t="s">
        <v>5</v>
      </c>
      <c r="N25" s="51" t="s">
        <v>5</v>
      </c>
      <c r="O25" s="29"/>
      <c r="P25" s="26"/>
      <c r="Q25" s="19" t="s">
        <v>40</v>
      </c>
      <c r="R25" s="124" t="s">
        <v>51</v>
      </c>
      <c r="S25" s="125"/>
      <c r="T25" s="125"/>
      <c r="U25" s="125"/>
      <c r="V25" s="126"/>
      <c r="W25" s="21" t="s">
        <v>67</v>
      </c>
    </row>
    <row r="26" spans="1:23" ht="15.75" x14ac:dyDescent="0.2">
      <c r="G26" s="27"/>
      <c r="H26" s="42" t="s">
        <v>109</v>
      </c>
      <c r="I26" s="16" t="e">
        <f>0.44*M29</f>
        <v>#VALUE!</v>
      </c>
      <c r="J26" s="16" t="e">
        <f>0.56*I31</f>
        <v>#VALUE!</v>
      </c>
      <c r="K26" s="16" t="e">
        <f>0.00503*M25*N25</f>
        <v>#VALUE!</v>
      </c>
      <c r="O26" s="29"/>
      <c r="P26" s="26"/>
      <c r="R26" s="25"/>
      <c r="S26" s="25"/>
      <c r="T26" s="25"/>
      <c r="U26" s="25"/>
      <c r="V26" s="25"/>
    </row>
    <row r="27" spans="1:23" ht="18.75" x14ac:dyDescent="0.2">
      <c r="G27" s="27"/>
      <c r="H27" s="40" t="s">
        <v>105</v>
      </c>
      <c r="I27" s="4" t="e">
        <f>I26+J26+K26</f>
        <v>#VALUE!</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t="s">
        <v>5</v>
      </c>
      <c r="N29" s="11" t="str">
        <f>M25</f>
        <v>x</v>
      </c>
      <c r="O29" s="29"/>
      <c r="P29" s="26"/>
      <c r="Q29" s="19" t="s">
        <v>46</v>
      </c>
      <c r="R29" s="124" t="s">
        <v>53</v>
      </c>
      <c r="S29" s="125"/>
      <c r="T29" s="125"/>
      <c r="U29" s="125"/>
      <c r="V29" s="126"/>
      <c r="W29" s="21" t="s">
        <v>67</v>
      </c>
    </row>
    <row r="30" spans="1:23" ht="15.75" x14ac:dyDescent="0.2">
      <c r="G30" s="27"/>
      <c r="H30" s="42" t="s">
        <v>106</v>
      </c>
      <c r="I30" s="16" t="str">
        <f>M29</f>
        <v>x</v>
      </c>
      <c r="J30" s="16" t="e">
        <f>3.33*N29</f>
        <v>#VALUE!</v>
      </c>
      <c r="K30" s="16">
        <f>-0.55</f>
        <v>-0.55000000000000004</v>
      </c>
      <c r="O30" s="29"/>
      <c r="P30" s="26"/>
      <c r="R30" s="25"/>
      <c r="S30" s="25"/>
      <c r="T30" s="25"/>
      <c r="U30" s="25"/>
      <c r="V30" s="25"/>
    </row>
    <row r="31" spans="1:23" ht="18.75" x14ac:dyDescent="0.2">
      <c r="G31" s="27"/>
      <c r="H31" s="40" t="s">
        <v>104</v>
      </c>
      <c r="I31" s="4" t="e">
        <f>I30+J30+K30</f>
        <v>#VALUE!</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t="e">
        <f>I36/I27</f>
        <v>#VALUE!</v>
      </c>
      <c r="J33" s="16" t="e">
        <f>I41-N34</f>
        <v>#VALUE!</v>
      </c>
      <c r="K33" s="16" t="e">
        <f>M34-I22</f>
        <v>#VALUE!</v>
      </c>
      <c r="M33" s="11" t="s">
        <v>129</v>
      </c>
      <c r="N33" s="11" t="s">
        <v>128</v>
      </c>
      <c r="O33" s="29"/>
      <c r="P33" s="26"/>
      <c r="Q33" s="19" t="s">
        <v>50</v>
      </c>
      <c r="R33" s="124" t="s">
        <v>144</v>
      </c>
      <c r="S33" s="125"/>
      <c r="T33" s="125"/>
      <c r="U33" s="125"/>
      <c r="V33" s="126"/>
      <c r="W33" s="21" t="s">
        <v>88</v>
      </c>
    </row>
    <row r="34" spans="1:23" ht="18.75" x14ac:dyDescent="0.2">
      <c r="G34" s="27"/>
      <c r="H34" s="40" t="s">
        <v>130</v>
      </c>
      <c r="I34" s="4" t="e">
        <f>I33+(J33/K33)</f>
        <v>#VALUE!</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t="e">
        <f>0.72*N37</f>
        <v>#VALUE!</v>
      </c>
      <c r="J36" s="16" t="e">
        <f>0.0155*L37*M37</f>
        <v>#VALUE!</v>
      </c>
      <c r="L36" s="11" t="s">
        <v>8</v>
      </c>
      <c r="M36" s="11" t="s">
        <v>50</v>
      </c>
      <c r="N36" s="11" t="s">
        <v>118</v>
      </c>
      <c r="O36" s="29"/>
      <c r="P36" s="26"/>
      <c r="R36" s="25"/>
      <c r="S36" s="25"/>
      <c r="T36" s="25"/>
      <c r="U36" s="25"/>
      <c r="V36" s="25"/>
    </row>
    <row r="37" spans="1:23" ht="38.25" x14ac:dyDescent="0.2">
      <c r="G37" s="27"/>
      <c r="H37" s="40" t="s">
        <v>119</v>
      </c>
      <c r="I37" s="4" t="e">
        <f>I36+J36</f>
        <v>#VALUE!</v>
      </c>
      <c r="J37" s="3"/>
      <c r="L37" s="11" t="str">
        <f>M25</f>
        <v>x</v>
      </c>
      <c r="M37" s="11" t="str">
        <f>N25</f>
        <v>x</v>
      </c>
      <c r="N37" s="51" t="s">
        <v>5</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t="e">
        <f>10^(L41-(M41/((I44-273)+N41)))</f>
        <v>#VALUE!</v>
      </c>
      <c r="J40" s="16" t="e">
        <f>10^(L41-(M41/((I45-273)+N41)))</f>
        <v>#VALUE!</v>
      </c>
      <c r="L40" s="11" t="s">
        <v>1</v>
      </c>
      <c r="M40" s="11" t="s">
        <v>2</v>
      </c>
      <c r="N40" s="11" t="s">
        <v>3</v>
      </c>
      <c r="O40" s="29"/>
      <c r="P40" s="26"/>
      <c r="R40" s="25"/>
      <c r="S40" s="25"/>
      <c r="T40" s="25"/>
      <c r="U40" s="25"/>
      <c r="V40" s="25"/>
    </row>
    <row r="41" spans="1:23" ht="69.75" x14ac:dyDescent="0.2">
      <c r="G41" s="27"/>
      <c r="H41" s="40" t="s">
        <v>125</v>
      </c>
      <c r="I41" s="4" t="e">
        <f>I40-J40</f>
        <v>#VALUE!</v>
      </c>
      <c r="J41" s="3"/>
      <c r="L41" s="11" t="str">
        <f>L21</f>
        <v>x</v>
      </c>
      <c r="M41" s="11" t="str">
        <f>M21</f>
        <v>x</v>
      </c>
      <c r="N41" s="11" t="str">
        <f>N21</f>
        <v>x</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t="e">
        <f>I27+(0.25*I37)</f>
        <v>#VALUE!</v>
      </c>
      <c r="J44" s="2"/>
      <c r="O44" s="29"/>
      <c r="P44" s="26"/>
      <c r="R44" s="25"/>
      <c r="S44" s="25"/>
      <c r="T44" s="25"/>
      <c r="U44" s="25"/>
      <c r="V44" s="25"/>
    </row>
    <row r="45" spans="1:23" ht="25.5" x14ac:dyDescent="0.2">
      <c r="A45" s="128" t="s">
        <v>122</v>
      </c>
      <c r="B45" s="128"/>
      <c r="C45" s="128"/>
      <c r="G45" s="27"/>
      <c r="H45" s="40" t="s">
        <v>124</v>
      </c>
      <c r="I45" s="4" t="e">
        <f>I27-(0.25*I37)</f>
        <v>#VALUE!</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t="e">
        <f>(1+(0.1114*M50*N50))</f>
        <v>#VALUE!</v>
      </c>
      <c r="M49" s="11" t="s">
        <v>133</v>
      </c>
      <c r="N49" s="11" t="s">
        <v>134</v>
      </c>
      <c r="O49" s="29"/>
      <c r="P49" s="26"/>
      <c r="Q49" s="19" t="s">
        <v>86</v>
      </c>
      <c r="R49" s="124" t="s">
        <v>87</v>
      </c>
      <c r="S49" s="125"/>
      <c r="T49" s="125"/>
      <c r="U49" s="125"/>
      <c r="V49" s="126"/>
      <c r="W49" s="21" t="s">
        <v>89</v>
      </c>
    </row>
    <row r="50" spans="1:24" ht="18.75" x14ac:dyDescent="0.35">
      <c r="G50" s="37"/>
      <c r="H50" s="47" t="s">
        <v>136</v>
      </c>
      <c r="I50" s="4" t="e">
        <f>I49/J49</f>
        <v>#VALUE!</v>
      </c>
      <c r="J50" s="4"/>
      <c r="M50" s="11" t="e">
        <f>I22</f>
        <v>#VALUE!</v>
      </c>
      <c r="N50" s="11" t="str">
        <f>N13</f>
        <v>x</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A1:C2"/>
    <mergeCell ref="E1:G2"/>
    <mergeCell ref="C4:E4"/>
    <mergeCell ref="C5:E5"/>
    <mergeCell ref="R6:V6"/>
    <mergeCell ref="A20:F20"/>
    <mergeCell ref="A7:G7"/>
    <mergeCell ref="H7:N7"/>
    <mergeCell ref="A8:F8"/>
    <mergeCell ref="A12:E12"/>
    <mergeCell ref="W12:W13"/>
    <mergeCell ref="R15:V15"/>
    <mergeCell ref="A16:F16"/>
    <mergeCell ref="R17:V17"/>
    <mergeCell ref="R19:V19"/>
    <mergeCell ref="Q12:Q13"/>
    <mergeCell ref="R12:V13"/>
    <mergeCell ref="A36:E36"/>
    <mergeCell ref="R21:V21"/>
    <mergeCell ref="L22:N22"/>
    <mergeCell ref="A24:F24"/>
    <mergeCell ref="R25:V25"/>
    <mergeCell ref="R27:V27"/>
    <mergeCell ref="A28:F28"/>
    <mergeCell ref="R29:V29"/>
    <mergeCell ref="R31:V31"/>
    <mergeCell ref="A32:F32"/>
    <mergeCell ref="R33:V33"/>
    <mergeCell ref="R35:V35"/>
    <mergeCell ref="R51:V51"/>
    <mergeCell ref="Q1:W2"/>
    <mergeCell ref="R4:T4"/>
    <mergeCell ref="L14:N14"/>
    <mergeCell ref="A44:C44"/>
    <mergeCell ref="A45:C45"/>
    <mergeCell ref="R45:V45"/>
    <mergeCell ref="R47:V47"/>
    <mergeCell ref="A49:F49"/>
    <mergeCell ref="R49:V49"/>
    <mergeCell ref="R37:V37"/>
    <mergeCell ref="R39:V39"/>
    <mergeCell ref="A40:G40"/>
    <mergeCell ref="R41:V41"/>
    <mergeCell ref="L42:N42"/>
    <mergeCell ref="R43:V43"/>
  </mergeCells>
  <conditionalFormatting sqref="M13">
    <cfRule type="cellIs" dxfId="11" priority="12" operator="notBetween">
      <formula>0</formula>
      <formula>100</formula>
    </cfRule>
  </conditionalFormatting>
  <conditionalFormatting sqref="N13">
    <cfRule type="cellIs" dxfId="10" priority="11" operator="notBetween">
      <formula>0</formula>
      <formula>100</formula>
    </cfRule>
  </conditionalFormatting>
  <conditionalFormatting sqref="N16">
    <cfRule type="cellIs" dxfId="9" priority="10" operator="notBetween">
      <formula>0</formula>
      <formula>1000</formula>
    </cfRule>
  </conditionalFormatting>
  <conditionalFormatting sqref="L21">
    <cfRule type="cellIs" dxfId="8" priority="9" operator="notBetween">
      <formula>0.1</formula>
      <formula>10</formula>
    </cfRule>
  </conditionalFormatting>
  <conditionalFormatting sqref="M21">
    <cfRule type="cellIs" dxfId="7" priority="8" operator="notBetween">
      <formula>500</formula>
      <formula>3000</formula>
    </cfRule>
  </conditionalFormatting>
  <conditionalFormatting sqref="N21">
    <cfRule type="cellIs" dxfId="6" priority="7" operator="notBetween">
      <formula>100</formula>
      <formula>300</formula>
    </cfRule>
  </conditionalFormatting>
  <conditionalFormatting sqref="M25">
    <cfRule type="cellIs" dxfId="5" priority="6" operator="notBetween">
      <formula>0</formula>
      <formula>1</formula>
    </cfRule>
  </conditionalFormatting>
  <conditionalFormatting sqref="N25">
    <cfRule type="cellIs" dxfId="4" priority="5" operator="notBetween">
      <formula>0</formula>
      <formula>1500</formula>
    </cfRule>
  </conditionalFormatting>
  <conditionalFormatting sqref="M29">
    <cfRule type="cellIs" dxfId="3" priority="4" operator="notBetween">
      <formula>263</formula>
      <formula>303</formula>
    </cfRule>
  </conditionalFormatting>
  <conditionalFormatting sqref="N37">
    <cfRule type="cellIs" dxfId="2" priority="3" operator="notBetween">
      <formula>0</formula>
      <formula>30</formula>
    </cfRule>
  </conditionalFormatting>
  <conditionalFormatting sqref="M13:N13 N16 L21:N21 M25:N25 M29 N37">
    <cfRule type="containsText" dxfId="1" priority="2" operator="containsText" text="x">
      <formula>NOT(ISERROR(SEARCH("x",L13)))</formula>
    </cfRule>
  </conditionalFormatting>
  <conditionalFormatting sqref="A5">
    <cfRule type="containsText" dxfId="0"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0139-B4F7-49EB-B83C-E3E6F763FB10}">
  <sheetPr>
    <tabColor theme="3" tint="0.59999389629810485"/>
  </sheetPr>
  <dimension ref="U2:AF6"/>
  <sheetViews>
    <sheetView zoomScale="71" zoomScaleNormal="71" workbookViewId="0">
      <selection activeCell="AB7" sqref="AB7"/>
    </sheetView>
  </sheetViews>
  <sheetFormatPr defaultRowHeight="15" x14ac:dyDescent="0.2"/>
  <cols>
    <col min="23" max="23" width="11.33203125" bestFit="1" customWidth="1"/>
    <col min="24" max="24" width="12.77734375" bestFit="1" customWidth="1"/>
    <col min="25" max="25" width="12" customWidth="1"/>
  </cols>
  <sheetData>
    <row r="2" spans="21:32" ht="15.75" thickBot="1" x14ac:dyDescent="0.25"/>
    <row r="3" spans="21:32" ht="24" thickBot="1" x14ac:dyDescent="0.4">
      <c r="U3" s="57"/>
      <c r="V3" s="57"/>
      <c r="W3" s="157" t="s">
        <v>146</v>
      </c>
      <c r="X3" s="157"/>
      <c r="Y3" s="157"/>
    </row>
    <row r="4" spans="21:32" ht="24" thickBot="1" x14ac:dyDescent="0.4">
      <c r="U4" s="57"/>
      <c r="V4" s="57"/>
      <c r="W4" s="58" t="s">
        <v>1</v>
      </c>
      <c r="X4" s="58" t="s">
        <v>2</v>
      </c>
      <c r="Y4" s="58" t="s">
        <v>3</v>
      </c>
      <c r="Z4" s="61" t="s">
        <v>28</v>
      </c>
      <c r="AB4" s="158" t="s">
        <v>152</v>
      </c>
      <c r="AC4" s="158"/>
      <c r="AD4" s="158"/>
      <c r="AE4" s="158"/>
      <c r="AF4" s="158"/>
    </row>
    <row r="5" spans="21:32" ht="24" customHeight="1" thickBot="1" x14ac:dyDescent="0.4">
      <c r="U5" s="59" t="s">
        <v>4</v>
      </c>
      <c r="V5" s="60"/>
      <c r="W5" s="58">
        <v>6.0196199999999997</v>
      </c>
      <c r="X5" s="58">
        <v>1255.527</v>
      </c>
      <c r="Y5" s="58">
        <v>217.3304</v>
      </c>
      <c r="Z5" s="61">
        <v>99.8</v>
      </c>
      <c r="AB5" s="158"/>
      <c r="AC5" s="158"/>
      <c r="AD5" s="158"/>
      <c r="AE5" s="158"/>
      <c r="AF5" s="158"/>
    </row>
    <row r="6" spans="21:32" ht="24" thickBot="1" x14ac:dyDescent="0.4">
      <c r="U6" s="59" t="s">
        <v>15</v>
      </c>
      <c r="V6" s="60"/>
      <c r="W6" s="58">
        <v>6.7150600000000003</v>
      </c>
      <c r="X6" s="58">
        <v>2009.16</v>
      </c>
      <c r="Y6" s="58">
        <v>241.89099999999999</v>
      </c>
      <c r="Z6" s="61">
        <v>171</v>
      </c>
      <c r="AB6" s="158"/>
      <c r="AC6" s="158"/>
      <c r="AD6" s="158"/>
      <c r="AE6" s="158"/>
      <c r="AF6" s="158"/>
    </row>
  </sheetData>
  <mergeCells count="2">
    <mergeCell ref="W3:Y3"/>
    <mergeCell ref="AB4:AF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BC148-859A-4DE6-B8C9-19E512CFA9AD}">
  <sheetPr>
    <tabColor theme="3" tint="0.59999389629810485"/>
  </sheetPr>
  <dimension ref="M2:Q4"/>
  <sheetViews>
    <sheetView workbookViewId="0">
      <selection activeCell="N5" sqref="N5"/>
    </sheetView>
  </sheetViews>
  <sheetFormatPr defaultRowHeight="15" x14ac:dyDescent="0.2"/>
  <sheetData>
    <row r="2" spans="13:17" ht="20.25" x14ac:dyDescent="0.3">
      <c r="M2" s="56" t="s">
        <v>151</v>
      </c>
      <c r="N2" s="56"/>
      <c r="O2" s="56"/>
      <c r="P2" s="56"/>
    </row>
    <row r="4" spans="13:17" ht="20.25" x14ac:dyDescent="0.3">
      <c r="M4" s="56" t="s">
        <v>150</v>
      </c>
      <c r="N4" s="56"/>
      <c r="O4" s="56"/>
      <c r="P4" s="56"/>
      <c r="Q4" s="5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C66B-9B0B-49BB-9DC2-7EDBA6DE4AFC}">
  <sheetPr>
    <tabColor theme="4" tint="-0.249977111117893"/>
  </sheetPr>
  <dimension ref="A1:V12"/>
  <sheetViews>
    <sheetView workbookViewId="0">
      <selection activeCell="J34" sqref="J34"/>
    </sheetView>
  </sheetViews>
  <sheetFormatPr defaultRowHeight="15" x14ac:dyDescent="0.2"/>
  <cols>
    <col min="1" max="1" width="8.88671875" style="106"/>
    <col min="2" max="2" width="14.44140625" bestFit="1" customWidth="1"/>
    <col min="12" max="12" width="18.5546875" customWidth="1"/>
  </cols>
  <sheetData>
    <row r="1" spans="1:22" ht="28.5" thickBot="1" x14ac:dyDescent="0.45">
      <c r="A1" s="66" t="s">
        <v>233</v>
      </c>
      <c r="B1" s="66"/>
      <c r="C1" s="105"/>
      <c r="D1" s="105"/>
      <c r="E1" s="105"/>
      <c r="F1" s="105"/>
      <c r="H1" s="105"/>
      <c r="J1" s="73" t="s">
        <v>231</v>
      </c>
      <c r="K1" s="74"/>
      <c r="L1" s="74"/>
      <c r="M1" s="104">
        <f>C12*1000</f>
        <v>1957296.4764699999</v>
      </c>
      <c r="N1" s="75" t="s">
        <v>194</v>
      </c>
      <c r="P1" s="155" t="s">
        <v>94</v>
      </c>
      <c r="Q1" s="155"/>
      <c r="R1" s="155"/>
      <c r="S1" s="155"/>
      <c r="T1" s="187"/>
      <c r="U1" s="187"/>
      <c r="V1" s="187"/>
    </row>
    <row r="2" spans="1:22" ht="15" customHeight="1" x14ac:dyDescent="0.2">
      <c r="P2" s="187"/>
      <c r="Q2" s="187"/>
      <c r="R2" s="187"/>
      <c r="S2" s="187"/>
      <c r="T2" s="187"/>
      <c r="U2" s="187"/>
      <c r="V2" s="187"/>
    </row>
    <row r="3" spans="1:22" x14ac:dyDescent="0.2">
      <c r="A3" s="180" t="s">
        <v>236</v>
      </c>
      <c r="B3" t="s">
        <v>4</v>
      </c>
      <c r="C3" s="186">
        <v>1449.171096</v>
      </c>
      <c r="D3" t="s">
        <v>230</v>
      </c>
      <c r="P3" s="54"/>
      <c r="Q3" s="156" t="s">
        <v>139</v>
      </c>
      <c r="R3" s="156"/>
      <c r="S3" s="156"/>
      <c r="T3" s="9"/>
      <c r="U3" s="9"/>
      <c r="V3" s="15"/>
    </row>
    <row r="4" spans="1:22" x14ac:dyDescent="0.2">
      <c r="A4" s="180"/>
      <c r="T4" s="9"/>
      <c r="U4" s="106"/>
      <c r="V4" s="53"/>
    </row>
    <row r="5" spans="1:22" x14ac:dyDescent="0.2">
      <c r="A5" s="180"/>
      <c r="B5" t="s">
        <v>15</v>
      </c>
      <c r="C5" s="186">
        <v>506.36864600000001</v>
      </c>
      <c r="D5" t="s">
        <v>230</v>
      </c>
    </row>
    <row r="7" spans="1:22" ht="15.75" x14ac:dyDescent="0.2">
      <c r="A7" s="4" t="s">
        <v>237</v>
      </c>
      <c r="B7" t="s">
        <v>232</v>
      </c>
      <c r="C7" s="185">
        <f>(I7*(H8*1000))/1000</f>
        <v>1.2197999999999999E-2</v>
      </c>
      <c r="D7" t="s">
        <v>230</v>
      </c>
      <c r="E7" t="s">
        <v>281</v>
      </c>
      <c r="H7" s="3" t="s">
        <v>155</v>
      </c>
      <c r="I7" s="181">
        <f>300/1000000</f>
        <v>2.9999999999999997E-4</v>
      </c>
      <c r="J7" t="s">
        <v>169</v>
      </c>
    </row>
    <row r="8" spans="1:22" x14ac:dyDescent="0.2">
      <c r="E8" t="s">
        <v>283</v>
      </c>
      <c r="H8" s="186">
        <v>40.659999999999997</v>
      </c>
      <c r="I8" t="s">
        <v>230</v>
      </c>
    </row>
    <row r="9" spans="1:22" ht="45" x14ac:dyDescent="0.2">
      <c r="A9" s="4" t="s">
        <v>238</v>
      </c>
      <c r="B9" s="67" t="s">
        <v>234</v>
      </c>
      <c r="C9" s="184">
        <f>H10*0.0041</f>
        <v>1.7445364700000001</v>
      </c>
      <c r="D9" s="112" t="s">
        <v>230</v>
      </c>
      <c r="E9" t="s">
        <v>280</v>
      </c>
    </row>
    <row r="10" spans="1:22" s="106" customFormat="1" x14ac:dyDescent="0.2">
      <c r="A10" s="3"/>
      <c r="B10" s="67"/>
      <c r="C10" s="3"/>
      <c r="D10" s="112"/>
      <c r="E10" s="106" t="s">
        <v>282</v>
      </c>
      <c r="H10" s="186">
        <v>425.49669999999998</v>
      </c>
      <c r="I10" s="106" t="s">
        <v>230</v>
      </c>
    </row>
    <row r="11" spans="1:22" ht="15.75" thickBot="1" x14ac:dyDescent="0.25"/>
    <row r="12" spans="1:22" ht="16.5" thickBot="1" x14ac:dyDescent="0.3">
      <c r="B12" s="73" t="s">
        <v>235</v>
      </c>
      <c r="C12" s="74">
        <f>C3+C5+C7+C9</f>
        <v>1957.2964764699998</v>
      </c>
      <c r="D12" s="75" t="s">
        <v>230</v>
      </c>
    </row>
  </sheetData>
  <mergeCells count="3">
    <mergeCell ref="A3:A5"/>
    <mergeCell ref="Q3:S3"/>
    <mergeCell ref="P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1A8B-6268-4765-8CA5-C801E177E989}">
  <sheetPr>
    <tabColor rgb="FFFF5050"/>
  </sheetPr>
  <dimension ref="A1:S21"/>
  <sheetViews>
    <sheetView workbookViewId="0">
      <selection activeCell="N1" sqref="N1"/>
    </sheetView>
  </sheetViews>
  <sheetFormatPr defaultRowHeight="15" x14ac:dyDescent="0.2"/>
  <cols>
    <col min="1" max="1" width="13.33203125" customWidth="1"/>
    <col min="2" max="2" width="12" bestFit="1" customWidth="1"/>
    <col min="5" max="5" width="12.88671875" customWidth="1"/>
    <col min="6" max="6" width="12.21875" bestFit="1" customWidth="1"/>
    <col min="8" max="8" width="7.21875" customWidth="1"/>
  </cols>
  <sheetData>
    <row r="1" spans="1:19" s="62" customFormat="1" ht="28.5" thickBot="1" x14ac:dyDescent="0.45">
      <c r="A1" s="66" t="s">
        <v>205</v>
      </c>
      <c r="C1" s="66" t="s">
        <v>206</v>
      </c>
      <c r="I1" s="73" t="s">
        <v>170</v>
      </c>
      <c r="J1" s="74"/>
      <c r="K1" s="74"/>
      <c r="L1" s="93">
        <f>D21</f>
        <v>28206.408228594937</v>
      </c>
      <c r="M1" s="75" t="s">
        <v>194</v>
      </c>
      <c r="P1" s="155" t="s">
        <v>94</v>
      </c>
      <c r="Q1" s="155"/>
      <c r="R1" s="155"/>
      <c r="S1" s="155"/>
    </row>
    <row r="2" spans="1:19" s="62" customFormat="1" ht="26.25" x14ac:dyDescent="0.2">
      <c r="P2" s="187"/>
      <c r="Q2" s="187"/>
      <c r="R2" s="187"/>
      <c r="S2" s="187"/>
    </row>
    <row r="3" spans="1:19" s="62" customFormat="1" ht="25.5" x14ac:dyDescent="0.2">
      <c r="A3" s="103" t="s">
        <v>183</v>
      </c>
      <c r="B3" s="76">
        <f>PI()</f>
        <v>3.1415926535897931</v>
      </c>
      <c r="C3" s="76">
        <v>0.159</v>
      </c>
      <c r="D3" s="76">
        <v>17.489999999999998</v>
      </c>
      <c r="E3" s="16" t="s">
        <v>155</v>
      </c>
      <c r="F3" s="76">
        <f>B3*C3*D3</f>
        <v>8.7364864262943911</v>
      </c>
      <c r="G3" s="76" t="s">
        <v>204</v>
      </c>
      <c r="P3" s="54"/>
      <c r="Q3" s="156" t="s">
        <v>139</v>
      </c>
      <c r="R3" s="156"/>
      <c r="S3" s="156"/>
    </row>
    <row r="4" spans="1:19" s="62" customFormat="1" ht="25.5" x14ac:dyDescent="0.2">
      <c r="A4" s="103" t="s">
        <v>184</v>
      </c>
      <c r="B4" s="76">
        <f>PI()</f>
        <v>3.1415926535897931</v>
      </c>
      <c r="C4" s="76">
        <v>0.3075</v>
      </c>
      <c r="D4" s="76">
        <v>4.5599999999999996</v>
      </c>
      <c r="E4" s="16" t="s">
        <v>155</v>
      </c>
      <c r="F4" s="76">
        <f t="shared" ref="F4:F5" si="0">B4*C4*D4</f>
        <v>4.4051412188636077</v>
      </c>
      <c r="G4" s="76" t="s">
        <v>204</v>
      </c>
    </row>
    <row r="5" spans="1:19" s="62" customFormat="1" ht="25.5" x14ac:dyDescent="0.2">
      <c r="A5" s="103" t="s">
        <v>185</v>
      </c>
      <c r="B5" s="76">
        <f>PI()</f>
        <v>3.1415926535897931</v>
      </c>
      <c r="C5" s="76">
        <v>0.3075</v>
      </c>
      <c r="D5" s="76">
        <v>2.98</v>
      </c>
      <c r="E5" s="16" t="s">
        <v>155</v>
      </c>
      <c r="F5" s="76">
        <f t="shared" si="0"/>
        <v>2.8787984281170069</v>
      </c>
      <c r="G5" s="76" t="s">
        <v>204</v>
      </c>
    </row>
    <row r="6" spans="1:19" s="62" customFormat="1" ht="47.25" x14ac:dyDescent="0.25">
      <c r="A6" s="68" t="s">
        <v>156</v>
      </c>
      <c r="B6" s="65">
        <f>F3+F4+F5</f>
        <v>16.020426073275008</v>
      </c>
      <c r="C6" s="65" t="s">
        <v>157</v>
      </c>
      <c r="D6" s="69" t="s">
        <v>155</v>
      </c>
      <c r="E6" s="65">
        <f>B6*60*60*8</f>
        <v>461388.27091032022</v>
      </c>
      <c r="F6" s="65" t="s">
        <v>158</v>
      </c>
      <c r="G6" s="69" t="s">
        <v>155</v>
      </c>
      <c r="H6" s="65">
        <f>E6*251</f>
        <v>115808455.99849038</v>
      </c>
      <c r="I6" s="65" t="s">
        <v>159</v>
      </c>
    </row>
    <row r="7" spans="1:19" s="62" customFormat="1" x14ac:dyDescent="0.2"/>
    <row r="8" spans="1:19" s="62" customFormat="1" ht="31.5" x14ac:dyDescent="0.25">
      <c r="A8" s="68" t="s">
        <v>161</v>
      </c>
      <c r="B8" s="188">
        <v>408</v>
      </c>
      <c r="C8" s="65" t="s">
        <v>175</v>
      </c>
      <c r="D8" s="65"/>
      <c r="E8" s="68" t="s">
        <v>162</v>
      </c>
      <c r="F8" s="188">
        <v>342</v>
      </c>
      <c r="G8" s="65" t="s">
        <v>175</v>
      </c>
      <c r="M8" s="77"/>
    </row>
    <row r="9" spans="1:19" ht="26.25" x14ac:dyDescent="0.4">
      <c r="A9" s="64"/>
      <c r="D9" s="62"/>
      <c r="M9" s="77"/>
    </row>
    <row r="10" spans="1:19" ht="31.5" x14ac:dyDescent="0.25">
      <c r="A10" s="68" t="s">
        <v>163</v>
      </c>
      <c r="B10">
        <f>E6*B8</f>
        <v>188246414.53141066</v>
      </c>
      <c r="C10" t="s">
        <v>164</v>
      </c>
      <c r="E10" s="68" t="s">
        <v>165</v>
      </c>
      <c r="F10" s="62">
        <f>E6*F8</f>
        <v>157794788.65132952</v>
      </c>
      <c r="G10" s="62" t="s">
        <v>164</v>
      </c>
    </row>
    <row r="11" spans="1:19" s="62" customFormat="1" ht="15.75" x14ac:dyDescent="0.25">
      <c r="A11" s="71" t="s">
        <v>155</v>
      </c>
      <c r="B11" s="65">
        <f>B10/1000000</f>
        <v>188.24641453141066</v>
      </c>
      <c r="C11" s="65" t="s">
        <v>168</v>
      </c>
      <c r="D11" s="65"/>
      <c r="E11" s="71" t="s">
        <v>155</v>
      </c>
      <c r="F11" s="65">
        <f>F10/1000000</f>
        <v>157.79478865132953</v>
      </c>
      <c r="G11" s="65" t="s">
        <v>168</v>
      </c>
      <c r="J11" s="189" t="s">
        <v>171</v>
      </c>
      <c r="K11" s="190" t="s">
        <v>172</v>
      </c>
      <c r="L11" s="191"/>
    </row>
    <row r="12" spans="1:19" x14ac:dyDescent="0.2">
      <c r="J12" s="192" t="s">
        <v>173</v>
      </c>
      <c r="K12" s="193" t="s">
        <v>174</v>
      </c>
      <c r="L12" s="194"/>
    </row>
    <row r="13" spans="1:19" ht="30" x14ac:dyDescent="0.2">
      <c r="A13" s="67" t="s">
        <v>166</v>
      </c>
      <c r="B13" s="186">
        <v>13405.941000000001</v>
      </c>
      <c r="C13" t="s">
        <v>168</v>
      </c>
      <c r="E13" s="67" t="s">
        <v>167</v>
      </c>
      <c r="F13" s="186">
        <f>20968.544+7069.23</f>
        <v>28037.774000000001</v>
      </c>
      <c r="G13" s="62" t="s">
        <v>168</v>
      </c>
    </row>
    <row r="15" spans="1:19" ht="31.5" x14ac:dyDescent="0.25">
      <c r="A15" s="68" t="s">
        <v>176</v>
      </c>
      <c r="B15" s="65">
        <f>B11/B13</f>
        <v>1.4042014248116611E-2</v>
      </c>
      <c r="C15" s="65" t="s">
        <v>169</v>
      </c>
      <c r="D15" s="65"/>
      <c r="E15" s="68" t="s">
        <v>178</v>
      </c>
      <c r="F15" s="65">
        <f>F11/F13</f>
        <v>5.6279356788926796E-3</v>
      </c>
      <c r="G15" s="65" t="s">
        <v>169</v>
      </c>
    </row>
    <row r="18" spans="1:7" ht="47.25" x14ac:dyDescent="0.25">
      <c r="A18" s="68" t="s">
        <v>179</v>
      </c>
      <c r="B18" s="65">
        <f>(B15+F15)/2</f>
        <v>9.8349749635046457E-3</v>
      </c>
      <c r="C18" s="65" t="s">
        <v>169</v>
      </c>
      <c r="E18" s="68" t="s">
        <v>177</v>
      </c>
      <c r="F18" s="72">
        <v>2867969.5</v>
      </c>
      <c r="G18" s="65" t="s">
        <v>154</v>
      </c>
    </row>
    <row r="20" spans="1:7" ht="15.75" thickBot="1" x14ac:dyDescent="0.25"/>
    <row r="21" spans="1:7" ht="16.5" thickBot="1" x14ac:dyDescent="0.3">
      <c r="A21" s="73" t="s">
        <v>170</v>
      </c>
      <c r="B21" s="74"/>
      <c r="C21" s="74"/>
      <c r="D21" s="74">
        <f>B18*F18</f>
        <v>28206.408228594937</v>
      </c>
      <c r="E21" s="75" t="s">
        <v>194</v>
      </c>
    </row>
  </sheetData>
  <mergeCells count="2">
    <mergeCell ref="P1:S1"/>
    <mergeCell ref="Q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8E3B-BDA9-4CC7-988E-E5C6D448C7B6}">
  <sheetPr>
    <tabColor rgb="FFFF5050"/>
  </sheetPr>
  <dimension ref="A1:X17"/>
  <sheetViews>
    <sheetView workbookViewId="0">
      <selection activeCell="K20" sqref="K20"/>
    </sheetView>
  </sheetViews>
  <sheetFormatPr defaultRowHeight="15" x14ac:dyDescent="0.2"/>
  <cols>
    <col min="1" max="1" width="17.44140625" customWidth="1"/>
    <col min="2" max="2" width="11" bestFit="1" customWidth="1"/>
    <col min="4" max="4" width="10.44140625" customWidth="1"/>
    <col min="9" max="9" width="13.77734375" customWidth="1"/>
    <col min="11" max="11" width="10.33203125" customWidth="1"/>
    <col min="12" max="12" width="7.44140625" customWidth="1"/>
    <col min="13" max="13" width="15.5546875" customWidth="1"/>
    <col min="17" max="17" width="13.33203125" customWidth="1"/>
  </cols>
  <sheetData>
    <row r="1" spans="1:24" ht="28.5" thickBot="1" x14ac:dyDescent="0.45">
      <c r="A1" s="66" t="s">
        <v>207</v>
      </c>
      <c r="B1" s="66"/>
      <c r="C1" s="62"/>
      <c r="H1" s="63"/>
      <c r="I1" s="182" t="s">
        <v>198</v>
      </c>
      <c r="J1" s="183"/>
      <c r="K1" s="183"/>
      <c r="L1" s="183"/>
      <c r="M1" s="93">
        <f>D11+L11+T11</f>
        <v>28.001240149524079</v>
      </c>
      <c r="N1" s="92" t="s">
        <v>194</v>
      </c>
      <c r="Q1" s="155" t="s">
        <v>94</v>
      </c>
      <c r="R1" s="155"/>
      <c r="S1" s="155"/>
      <c r="T1" s="155"/>
    </row>
    <row r="2" spans="1:24" ht="26.25" x14ac:dyDescent="0.2">
      <c r="H2" s="79"/>
      <c r="Q2" s="187"/>
      <c r="R2" s="187"/>
      <c r="S2" s="187"/>
      <c r="T2" s="187"/>
    </row>
    <row r="3" spans="1:24" s="62" customFormat="1" ht="26.25" x14ac:dyDescent="0.25">
      <c r="A3" s="65"/>
      <c r="B3" s="87" t="s">
        <v>188</v>
      </c>
      <c r="C3" s="88" t="s">
        <v>187</v>
      </c>
      <c r="D3" s="89" t="s">
        <v>189</v>
      </c>
      <c r="H3" s="79"/>
      <c r="Q3" s="54"/>
      <c r="R3" s="156" t="s">
        <v>139</v>
      </c>
      <c r="S3" s="156"/>
      <c r="T3" s="156"/>
    </row>
    <row r="4" spans="1:24" ht="18.75" x14ac:dyDescent="0.25">
      <c r="A4" s="65" t="s">
        <v>186</v>
      </c>
      <c r="B4" s="62">
        <f>PI()</f>
        <v>3.1415926535897931</v>
      </c>
      <c r="C4" s="70">
        <v>0.1</v>
      </c>
      <c r="D4" s="70">
        <v>1.5</v>
      </c>
      <c r="E4" s="3" t="s">
        <v>155</v>
      </c>
      <c r="F4" s="65">
        <f>B4*C4*D4</f>
        <v>0.47123889803846897</v>
      </c>
      <c r="G4" s="65" t="s">
        <v>157</v>
      </c>
      <c r="H4" s="79"/>
    </row>
    <row r="5" spans="1:24" ht="15.75" thickBot="1" x14ac:dyDescent="0.25">
      <c r="H5" s="79"/>
    </row>
    <row r="6" spans="1:24" ht="15.75" x14ac:dyDescent="0.25">
      <c r="A6" s="98" t="s">
        <v>180</v>
      </c>
      <c r="B6" s="80"/>
      <c r="C6" s="80"/>
      <c r="D6" s="80"/>
      <c r="E6" s="80"/>
      <c r="F6" s="80"/>
      <c r="G6" s="80"/>
      <c r="H6" s="81"/>
      <c r="I6" s="99" t="s">
        <v>197</v>
      </c>
      <c r="J6" s="80"/>
      <c r="K6" s="80"/>
      <c r="L6" s="80"/>
      <c r="M6" s="80"/>
      <c r="N6" s="80"/>
      <c r="O6" s="80"/>
      <c r="P6" s="81"/>
      <c r="Q6" s="99" t="s">
        <v>196</v>
      </c>
      <c r="R6" s="80"/>
      <c r="S6" s="80"/>
      <c r="T6" s="80"/>
      <c r="U6" s="80"/>
      <c r="V6" s="80"/>
      <c r="W6" s="80"/>
      <c r="X6" s="81"/>
    </row>
    <row r="7" spans="1:24" x14ac:dyDescent="0.2">
      <c r="A7" s="82" t="s">
        <v>181</v>
      </c>
      <c r="B7" s="83">
        <v>13242.57</v>
      </c>
      <c r="C7" s="79" t="s">
        <v>182</v>
      </c>
      <c r="D7" s="83" t="s">
        <v>155</v>
      </c>
      <c r="E7" s="83">
        <f>B7*60</f>
        <v>794554.2</v>
      </c>
      <c r="F7" s="79" t="s">
        <v>191</v>
      </c>
      <c r="G7" s="79"/>
      <c r="H7" s="78"/>
      <c r="I7" s="79" t="s">
        <v>181</v>
      </c>
      <c r="J7" s="83">
        <v>17656.759999999998</v>
      </c>
      <c r="K7" s="79" t="s">
        <v>182</v>
      </c>
      <c r="L7" s="83" t="s">
        <v>155</v>
      </c>
      <c r="M7" s="83">
        <f>J7*60</f>
        <v>1059405.5999999999</v>
      </c>
      <c r="N7" s="79" t="s">
        <v>191</v>
      </c>
      <c r="O7" s="79"/>
      <c r="P7" s="78"/>
      <c r="Q7" s="79" t="s">
        <v>181</v>
      </c>
      <c r="R7" s="196">
        <v>66540</v>
      </c>
      <c r="S7" s="79" t="s">
        <v>182</v>
      </c>
      <c r="T7" s="83" t="s">
        <v>155</v>
      </c>
      <c r="U7" s="83">
        <f>R7*60</f>
        <v>3992400</v>
      </c>
      <c r="V7" s="79" t="s">
        <v>191</v>
      </c>
      <c r="W7" s="79"/>
      <c r="X7" s="78"/>
    </row>
    <row r="8" spans="1:24" x14ac:dyDescent="0.2">
      <c r="A8" s="82"/>
      <c r="B8" s="79"/>
      <c r="C8" s="79"/>
      <c r="D8" s="79"/>
      <c r="E8" s="79"/>
      <c r="F8" s="79"/>
      <c r="G8" s="79"/>
      <c r="H8" s="78"/>
      <c r="I8" s="79"/>
      <c r="J8" s="79"/>
      <c r="K8" s="79"/>
      <c r="L8" s="79"/>
      <c r="M8" s="79"/>
      <c r="N8" s="79"/>
      <c r="O8" s="79"/>
      <c r="P8" s="78"/>
      <c r="Q8" s="79"/>
      <c r="R8" s="79"/>
      <c r="S8" s="79"/>
      <c r="T8" s="79"/>
      <c r="U8" s="79"/>
      <c r="V8" s="79"/>
      <c r="W8" s="79"/>
      <c r="X8" s="78"/>
    </row>
    <row r="9" spans="1:24" ht="45" x14ac:dyDescent="0.2">
      <c r="A9" s="102" t="s">
        <v>190</v>
      </c>
      <c r="B9" s="195">
        <f>(45+1.6)/2</f>
        <v>23.3</v>
      </c>
      <c r="C9" s="101" t="s">
        <v>160</v>
      </c>
      <c r="D9" s="79"/>
      <c r="E9" s="84" t="s">
        <v>192</v>
      </c>
      <c r="F9" s="83" t="s">
        <v>155</v>
      </c>
      <c r="G9" s="83">
        <f>F4*E7</f>
        <v>374424.84563983727</v>
      </c>
      <c r="H9" s="78" t="s">
        <v>193</v>
      </c>
      <c r="I9" s="100" t="s">
        <v>190</v>
      </c>
      <c r="J9" s="195">
        <f>(14.2+1.6)/2</f>
        <v>7.8999999999999995</v>
      </c>
      <c r="K9" s="101" t="s">
        <v>160</v>
      </c>
      <c r="L9" s="79"/>
      <c r="M9" s="84" t="s">
        <v>192</v>
      </c>
      <c r="N9" s="83" t="s">
        <v>155</v>
      </c>
      <c r="O9" s="83">
        <f>F4*M7</f>
        <v>499233.12751978298</v>
      </c>
      <c r="P9" s="78" t="s">
        <v>193</v>
      </c>
      <c r="Q9" s="100" t="s">
        <v>190</v>
      </c>
      <c r="R9" s="195">
        <f>(14.5+1.8)/2</f>
        <v>8.15</v>
      </c>
      <c r="S9" s="101" t="s">
        <v>160</v>
      </c>
      <c r="T9" s="79"/>
      <c r="U9" s="84" t="s">
        <v>192</v>
      </c>
      <c r="V9" s="83" t="s">
        <v>155</v>
      </c>
      <c r="W9" s="83">
        <f>U7*F4</f>
        <v>1881374.1765287835</v>
      </c>
      <c r="X9" s="78" t="s">
        <v>193</v>
      </c>
    </row>
    <row r="10" spans="1:24" ht="27" thickBot="1" x14ac:dyDescent="0.45">
      <c r="A10" s="85"/>
      <c r="B10" s="79"/>
      <c r="C10" s="79"/>
      <c r="D10" s="79"/>
      <c r="E10" s="79"/>
      <c r="F10" s="79"/>
      <c r="G10" s="79"/>
      <c r="H10" s="78"/>
      <c r="I10" s="86"/>
      <c r="J10" s="79"/>
      <c r="K10" s="79"/>
      <c r="L10" s="79"/>
      <c r="M10" s="79"/>
      <c r="N10" s="79"/>
      <c r="O10" s="79"/>
      <c r="P10" s="78"/>
      <c r="Q10" s="86"/>
      <c r="R10" s="79"/>
      <c r="S10" s="79"/>
      <c r="T10" s="79"/>
      <c r="U10" s="79"/>
      <c r="V10" s="79"/>
      <c r="W10" s="79"/>
      <c r="X10" s="78"/>
    </row>
    <row r="11" spans="1:24" ht="16.5" thickBot="1" x14ac:dyDescent="0.3">
      <c r="A11" s="73" t="s">
        <v>195</v>
      </c>
      <c r="B11" s="74"/>
      <c r="C11" s="74"/>
      <c r="D11" s="74">
        <f>((B9)/1000000)*G9</f>
        <v>8.7240989034082084</v>
      </c>
      <c r="E11" s="74" t="s">
        <v>194</v>
      </c>
      <c r="F11" s="90"/>
      <c r="G11" s="90"/>
      <c r="H11" s="91"/>
      <c r="I11" s="74" t="s">
        <v>202</v>
      </c>
      <c r="J11" s="74"/>
      <c r="K11" s="74"/>
      <c r="L11" s="74">
        <f>((J9)/1000000)*O9</f>
        <v>3.9439417074062848</v>
      </c>
      <c r="M11" s="74" t="s">
        <v>194</v>
      </c>
      <c r="N11" s="90"/>
      <c r="O11" s="90"/>
      <c r="P11" s="91"/>
      <c r="Q11" s="74" t="s">
        <v>203</v>
      </c>
      <c r="R11" s="74"/>
      <c r="S11" s="74"/>
      <c r="T11" s="74">
        <f>((R9)/1000000)*W9</f>
        <v>15.333199538709586</v>
      </c>
      <c r="U11" s="74" t="s">
        <v>194</v>
      </c>
      <c r="V11" s="90"/>
      <c r="W11" s="90"/>
      <c r="X11" s="91"/>
    </row>
    <row r="14" spans="1:24" x14ac:dyDescent="0.2">
      <c r="A14" s="105"/>
      <c r="B14" s="105"/>
      <c r="C14" s="105"/>
      <c r="D14" s="105"/>
      <c r="E14" s="105"/>
      <c r="F14" s="105"/>
      <c r="G14" s="105"/>
    </row>
    <row r="15" spans="1:24" x14ac:dyDescent="0.2">
      <c r="A15" s="105"/>
      <c r="B15" s="105"/>
      <c r="C15" s="105"/>
      <c r="D15" s="105"/>
      <c r="E15" s="105"/>
      <c r="F15" s="105"/>
      <c r="G15" s="105"/>
    </row>
    <row r="16" spans="1:24" x14ac:dyDescent="0.2">
      <c r="A16" s="105"/>
      <c r="B16" s="105"/>
      <c r="C16" s="105"/>
      <c r="D16" s="105"/>
      <c r="E16" s="105"/>
      <c r="F16" s="105"/>
      <c r="G16" s="105"/>
    </row>
    <row r="17" spans="1:7" x14ac:dyDescent="0.2">
      <c r="A17" s="105"/>
      <c r="B17" s="105"/>
      <c r="C17" s="105"/>
      <c r="D17" s="105"/>
      <c r="E17" s="105"/>
      <c r="F17" s="105"/>
      <c r="G17" s="105"/>
    </row>
  </sheetData>
  <mergeCells count="3">
    <mergeCell ref="I1:L1"/>
    <mergeCell ref="Q1:T1"/>
    <mergeCell ref="R3:T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4626-9CA1-4D82-9531-9D48E9D9E522}">
  <sheetPr>
    <tabColor rgb="FFFF5050"/>
  </sheetPr>
  <dimension ref="A1:X49"/>
  <sheetViews>
    <sheetView workbookViewId="0">
      <selection activeCell="Q7" sqref="Q7"/>
    </sheetView>
  </sheetViews>
  <sheetFormatPr defaultRowHeight="15" x14ac:dyDescent="0.2"/>
  <cols>
    <col min="1" max="1" width="8.109375" style="6" bestFit="1" customWidth="1"/>
    <col min="2" max="2" width="7.88671875" style="6" customWidth="1"/>
    <col min="3" max="3" width="8.21875" style="6" customWidth="1"/>
    <col min="4" max="4" width="6.109375" style="6" customWidth="1"/>
    <col min="5" max="5" width="0.109375" style="6" hidden="1" customWidth="1"/>
    <col min="6" max="6" width="12" style="6" bestFit="1" customWidth="1"/>
    <col min="7" max="7" width="5.88671875" style="6" customWidth="1"/>
    <col min="8" max="8" width="4.88671875" style="6" bestFit="1" customWidth="1"/>
    <col min="9" max="9" width="6" style="6" customWidth="1"/>
    <col min="10" max="11" width="9.5546875" style="6" customWidth="1"/>
    <col min="12" max="12" width="5.44140625" style="6" customWidth="1"/>
    <col min="13" max="13" width="5.6640625" style="6" customWidth="1"/>
    <col min="14" max="14" width="10.33203125" style="6" customWidth="1"/>
    <col min="15" max="15" width="7.109375" style="6" customWidth="1"/>
    <col min="16" max="16384" width="8.88671875" style="6"/>
  </cols>
  <sheetData>
    <row r="1" spans="1:24" ht="28.5" thickBot="1" x14ac:dyDescent="0.45">
      <c r="A1" s="66" t="s">
        <v>199</v>
      </c>
      <c r="B1" s="66" t="s">
        <v>200</v>
      </c>
      <c r="C1" s="66"/>
      <c r="D1" s="62"/>
      <c r="I1" s="113" t="s">
        <v>201</v>
      </c>
      <c r="J1" s="114"/>
      <c r="K1" s="114"/>
      <c r="L1" s="114"/>
      <c r="M1" s="114"/>
      <c r="N1" s="97">
        <f>J49</f>
        <v>189.70144052686672</v>
      </c>
      <c r="O1" s="94" t="s">
        <v>194</v>
      </c>
      <c r="P1" s="95"/>
      <c r="Q1" s="95"/>
      <c r="R1" s="155" t="s">
        <v>94</v>
      </c>
      <c r="S1" s="155"/>
      <c r="T1" s="155"/>
      <c r="U1" s="155"/>
    </row>
    <row r="2" spans="1:24" ht="26.25" x14ac:dyDescent="0.2">
      <c r="P2" s="96"/>
      <c r="Q2" s="96"/>
      <c r="R2" s="187"/>
      <c r="S2" s="187"/>
      <c r="T2" s="187"/>
      <c r="U2" s="187"/>
    </row>
    <row r="3" spans="1:24" ht="15.75" customHeight="1" x14ac:dyDescent="0.2">
      <c r="A3" s="115" t="s">
        <v>10</v>
      </c>
      <c r="B3" s="115"/>
      <c r="C3" s="115"/>
      <c r="D3" s="12"/>
      <c r="E3" s="12"/>
      <c r="F3" s="12"/>
      <c r="G3" s="12"/>
      <c r="H3" s="12"/>
      <c r="I3" s="12"/>
      <c r="J3" s="12"/>
      <c r="K3" s="12"/>
      <c r="L3" s="12"/>
      <c r="M3" s="12"/>
      <c r="N3" s="12"/>
      <c r="P3" s="96"/>
      <c r="Q3" s="96"/>
      <c r="R3" s="54"/>
      <c r="S3" s="156" t="s">
        <v>139</v>
      </c>
      <c r="T3" s="156"/>
      <c r="U3" s="156"/>
    </row>
    <row r="4" spans="1:24" ht="15" customHeight="1" x14ac:dyDescent="0.2">
      <c r="A4" s="115"/>
      <c r="B4" s="115"/>
      <c r="C4" s="115"/>
      <c r="D4" s="12"/>
      <c r="E4" s="12"/>
      <c r="F4" s="12"/>
      <c r="G4" s="12"/>
      <c r="H4" s="12"/>
      <c r="I4" s="12"/>
      <c r="J4" s="12"/>
      <c r="K4" s="12"/>
      <c r="L4" s="12"/>
      <c r="M4" s="12"/>
      <c r="N4" s="12"/>
    </row>
    <row r="5" spans="1:24" x14ac:dyDescent="0.2">
      <c r="A5" s="12"/>
      <c r="B5" s="12"/>
      <c r="C5" s="12"/>
      <c r="D5" s="12"/>
      <c r="E5" s="12"/>
      <c r="F5" s="12"/>
      <c r="G5" s="12"/>
      <c r="H5" s="12"/>
      <c r="I5" s="12"/>
      <c r="J5" s="12"/>
      <c r="K5" s="12"/>
      <c r="L5" s="12"/>
      <c r="M5" s="12"/>
      <c r="N5" s="12"/>
      <c r="Q5"/>
      <c r="S5"/>
      <c r="T5"/>
      <c r="U5"/>
      <c r="V5" s="120"/>
      <c r="W5" s="120"/>
      <c r="X5" s="120"/>
    </row>
    <row r="6" spans="1:24" ht="41.25" customHeight="1" x14ac:dyDescent="0.2">
      <c r="A6" s="10" t="s">
        <v>0</v>
      </c>
      <c r="B6" s="10" t="s">
        <v>18</v>
      </c>
      <c r="C6" s="116" t="s">
        <v>19</v>
      </c>
      <c r="D6" s="116"/>
      <c r="E6" s="116"/>
      <c r="F6" s="10" t="s">
        <v>20</v>
      </c>
      <c r="G6" s="10" t="s">
        <v>21</v>
      </c>
      <c r="H6" s="10" t="s">
        <v>22</v>
      </c>
      <c r="I6" s="10" t="s">
        <v>23</v>
      </c>
      <c r="J6" s="10" t="s">
        <v>98</v>
      </c>
      <c r="K6" s="10" t="s">
        <v>99</v>
      </c>
      <c r="L6" s="10" t="s">
        <v>24</v>
      </c>
      <c r="M6" s="10" t="s">
        <v>25</v>
      </c>
      <c r="N6" s="10" t="s">
        <v>26</v>
      </c>
      <c r="Q6"/>
      <c r="R6"/>
      <c r="S6"/>
      <c r="T6"/>
      <c r="U6"/>
      <c r="V6"/>
      <c r="W6"/>
      <c r="X6"/>
    </row>
    <row r="7" spans="1:24" ht="15.75" x14ac:dyDescent="0.2">
      <c r="A7" s="52" t="s">
        <v>4</v>
      </c>
      <c r="B7" s="52">
        <v>99.8</v>
      </c>
      <c r="C7" s="197">
        <v>5.5583753455144533</v>
      </c>
      <c r="D7" s="198"/>
      <c r="E7" s="199"/>
      <c r="F7" s="52">
        <v>0.22716962696990878</v>
      </c>
      <c r="G7" s="52">
        <v>26.282000013564183</v>
      </c>
      <c r="H7" s="52">
        <v>2.1480000000000001</v>
      </c>
      <c r="I7" s="52">
        <v>0.42917569452644988</v>
      </c>
      <c r="J7" s="52">
        <v>5.9740919860796353</v>
      </c>
      <c r="K7" s="52">
        <v>5.1671054341247045</v>
      </c>
      <c r="L7" s="52">
        <v>0.80698655195493085</v>
      </c>
      <c r="M7" s="52">
        <v>2.5545118439387341E-2</v>
      </c>
      <c r="N7" s="200">
        <v>23.891563951394424</v>
      </c>
      <c r="Q7"/>
      <c r="R7"/>
      <c r="S7"/>
      <c r="T7"/>
      <c r="U7"/>
      <c r="V7"/>
      <c r="W7"/>
      <c r="X7"/>
    </row>
    <row r="8" spans="1:24" x14ac:dyDescent="0.2">
      <c r="A8" s="12"/>
      <c r="B8" s="12"/>
      <c r="C8" s="12"/>
      <c r="D8" s="12"/>
      <c r="E8" s="12"/>
      <c r="F8" s="12"/>
      <c r="G8" s="12"/>
      <c r="H8" s="12"/>
      <c r="I8" s="12"/>
      <c r="J8" s="12"/>
      <c r="K8" s="12"/>
      <c r="L8" s="12"/>
      <c r="M8" s="12"/>
      <c r="N8" s="14" t="s">
        <v>9</v>
      </c>
      <c r="Q8"/>
      <c r="R8"/>
      <c r="S8"/>
      <c r="T8"/>
      <c r="U8"/>
      <c r="V8"/>
      <c r="W8"/>
      <c r="X8"/>
    </row>
    <row r="9" spans="1:24" ht="15" customHeight="1" x14ac:dyDescent="0.2">
      <c r="A9" s="115" t="s">
        <v>11</v>
      </c>
      <c r="B9" s="115"/>
      <c r="C9" s="115"/>
      <c r="D9" s="12"/>
      <c r="E9" s="12"/>
      <c r="F9" s="12"/>
      <c r="G9" s="12"/>
      <c r="H9" s="12"/>
      <c r="I9" s="12"/>
      <c r="J9" s="12"/>
      <c r="K9" s="12"/>
      <c r="L9" s="12"/>
      <c r="M9" s="12"/>
      <c r="N9" s="12"/>
      <c r="Q9"/>
      <c r="R9"/>
      <c r="S9"/>
      <c r="T9"/>
      <c r="U9"/>
      <c r="V9"/>
      <c r="W9"/>
      <c r="X9"/>
    </row>
    <row r="10" spans="1:24" ht="15" customHeight="1" x14ac:dyDescent="0.2">
      <c r="A10" s="115"/>
      <c r="B10" s="115"/>
      <c r="C10" s="115"/>
      <c r="D10" s="12"/>
      <c r="E10" s="12"/>
      <c r="F10" s="12"/>
      <c r="G10" s="12"/>
      <c r="H10" s="12"/>
      <c r="I10" s="12"/>
      <c r="J10" s="12"/>
      <c r="K10" s="12"/>
      <c r="L10" s="12"/>
      <c r="M10" s="12"/>
      <c r="N10" s="12"/>
    </row>
    <row r="11" spans="1:24" x14ac:dyDescent="0.2">
      <c r="A11" s="12"/>
      <c r="B11" s="12"/>
      <c r="C11" s="12"/>
      <c r="D11" s="12"/>
      <c r="E11" s="12"/>
      <c r="F11" s="12"/>
      <c r="G11" s="12"/>
      <c r="H11" s="12"/>
      <c r="I11" s="12"/>
      <c r="J11" s="12"/>
      <c r="K11" s="12"/>
      <c r="L11" s="12"/>
      <c r="M11" s="12"/>
      <c r="N11" s="12"/>
    </row>
    <row r="12" spans="1:24" ht="41.25" customHeight="1" x14ac:dyDescent="0.2">
      <c r="A12" s="10" t="s">
        <v>0</v>
      </c>
      <c r="B12" s="10" t="s">
        <v>18</v>
      </c>
      <c r="C12" s="116" t="s">
        <v>19</v>
      </c>
      <c r="D12" s="116"/>
      <c r="E12" s="116"/>
      <c r="F12" s="10" t="s">
        <v>20</v>
      </c>
      <c r="G12" s="10" t="s">
        <v>21</v>
      </c>
      <c r="H12" s="10" t="s">
        <v>22</v>
      </c>
      <c r="I12" s="10" t="s">
        <v>23</v>
      </c>
      <c r="J12" s="10" t="s">
        <v>98</v>
      </c>
      <c r="K12" s="10" t="s">
        <v>99</v>
      </c>
      <c r="L12" s="10" t="s">
        <v>24</v>
      </c>
      <c r="M12" s="10" t="s">
        <v>25</v>
      </c>
      <c r="N12" s="10" t="s">
        <v>26</v>
      </c>
    </row>
    <row r="13" spans="1:24" ht="15.75" x14ac:dyDescent="0.2">
      <c r="A13" s="201" t="s">
        <v>4</v>
      </c>
      <c r="B13" s="201">
        <v>99.8</v>
      </c>
      <c r="C13" s="202">
        <v>5.4795141407951506</v>
      </c>
      <c r="D13" s="203"/>
      <c r="E13" s="204"/>
      <c r="F13" s="201">
        <v>0.22416007706273003</v>
      </c>
      <c r="G13" s="205">
        <v>12.689394779487959</v>
      </c>
      <c r="H13" s="201">
        <v>1.3280000000000001</v>
      </c>
      <c r="I13" s="201">
        <v>0.55229244659106236</v>
      </c>
      <c r="J13" s="201">
        <v>5.8903298914913691</v>
      </c>
      <c r="K13" s="201">
        <v>5.0929175222861343</v>
      </c>
      <c r="L13" s="201">
        <v>0.79741236920523484</v>
      </c>
      <c r="M13" s="201">
        <v>2.5458578248773199E-2</v>
      </c>
      <c r="N13" s="206">
        <v>14.59806492351297</v>
      </c>
    </row>
    <row r="14" spans="1:24" x14ac:dyDescent="0.2">
      <c r="A14" s="12"/>
      <c r="B14" s="12"/>
      <c r="C14" s="12"/>
      <c r="D14" s="12"/>
      <c r="E14" s="12"/>
      <c r="F14" s="12"/>
      <c r="G14" s="12"/>
      <c r="H14" s="12"/>
      <c r="I14" s="12"/>
      <c r="J14" s="12"/>
      <c r="K14" s="12"/>
      <c r="L14" s="12"/>
      <c r="M14" s="12"/>
      <c r="N14" s="14" t="s">
        <v>9</v>
      </c>
    </row>
    <row r="15" spans="1:24" ht="15" customHeight="1" x14ac:dyDescent="0.2">
      <c r="A15" s="115" t="s">
        <v>12</v>
      </c>
      <c r="B15" s="115"/>
      <c r="C15" s="115"/>
      <c r="D15" s="12"/>
      <c r="E15" s="12"/>
      <c r="F15" s="12"/>
      <c r="G15" s="12"/>
      <c r="H15" s="12"/>
      <c r="I15" s="12"/>
      <c r="J15" s="12"/>
      <c r="K15" s="12"/>
      <c r="L15" s="12"/>
      <c r="M15" s="12"/>
      <c r="N15" s="12"/>
    </row>
    <row r="16" spans="1:24" ht="15" customHeight="1" x14ac:dyDescent="0.2">
      <c r="A16" s="115"/>
      <c r="B16" s="115"/>
      <c r="C16" s="115"/>
      <c r="D16" s="12"/>
      <c r="E16" s="12"/>
      <c r="F16" s="12"/>
      <c r="G16" s="12"/>
      <c r="H16" s="12"/>
      <c r="I16" s="12"/>
      <c r="J16" s="12"/>
      <c r="K16" s="12"/>
      <c r="L16" s="12"/>
      <c r="M16" s="12"/>
      <c r="N16" s="12"/>
    </row>
    <row r="17" spans="1:14" x14ac:dyDescent="0.2">
      <c r="A17" s="12"/>
      <c r="B17" s="12"/>
      <c r="C17" s="12"/>
      <c r="D17" s="12"/>
      <c r="E17" s="12"/>
      <c r="F17" s="12"/>
      <c r="G17" s="12"/>
      <c r="H17" s="12"/>
      <c r="I17" s="12"/>
      <c r="J17" s="12"/>
      <c r="K17" s="12"/>
      <c r="L17" s="12"/>
      <c r="M17" s="12"/>
      <c r="N17" s="12"/>
    </row>
    <row r="18" spans="1:14" ht="41.25" customHeight="1" x14ac:dyDescent="0.2">
      <c r="A18" s="10" t="s">
        <v>0</v>
      </c>
      <c r="B18" s="10" t="s">
        <v>18</v>
      </c>
      <c r="C18" s="116" t="s">
        <v>19</v>
      </c>
      <c r="D18" s="116"/>
      <c r="E18" s="116"/>
      <c r="F18" s="10" t="s">
        <v>20</v>
      </c>
      <c r="G18" s="10" t="s">
        <v>21</v>
      </c>
      <c r="H18" s="10" t="s">
        <v>22</v>
      </c>
      <c r="I18" s="10" t="s">
        <v>23</v>
      </c>
      <c r="J18" s="10" t="s">
        <v>98</v>
      </c>
      <c r="K18" s="10" t="s">
        <v>99</v>
      </c>
      <c r="L18" s="10" t="s">
        <v>24</v>
      </c>
      <c r="M18" s="10" t="s">
        <v>25</v>
      </c>
      <c r="N18" s="10" t="s">
        <v>26</v>
      </c>
    </row>
    <row r="19" spans="1:14" ht="15.75" x14ac:dyDescent="0.2">
      <c r="A19" s="201" t="s">
        <v>4</v>
      </c>
      <c r="B19" s="201">
        <v>99.8</v>
      </c>
      <c r="C19" s="202">
        <v>2.7388914144284962</v>
      </c>
      <c r="D19" s="203"/>
      <c r="E19" s="204"/>
      <c r="F19" s="201">
        <v>0.11716674916985161</v>
      </c>
      <c r="G19" s="205">
        <v>22.468921985886492</v>
      </c>
      <c r="H19" s="201">
        <v>3.2</v>
      </c>
      <c r="I19" s="201">
        <v>0.50598068885425351</v>
      </c>
      <c r="J19" s="201">
        <v>2.9692297215841754</v>
      </c>
      <c r="K19" s="201">
        <v>2.5238270108082199</v>
      </c>
      <c r="L19" s="201">
        <v>0.4454027107759555</v>
      </c>
      <c r="M19" s="201">
        <v>2.2604410700088708E-2</v>
      </c>
      <c r="N19" s="206">
        <v>10.990225731337519</v>
      </c>
    </row>
    <row r="20" spans="1:14" x14ac:dyDescent="0.2">
      <c r="A20" s="12"/>
      <c r="B20" s="12"/>
      <c r="C20" s="12"/>
      <c r="D20" s="12"/>
      <c r="E20" s="12"/>
      <c r="F20" s="12"/>
      <c r="G20" s="12"/>
      <c r="H20" s="12"/>
      <c r="I20" s="12"/>
      <c r="J20" s="12"/>
      <c r="K20" s="12"/>
      <c r="L20" s="12"/>
      <c r="M20" s="12"/>
      <c r="N20" s="14" t="s">
        <v>9</v>
      </c>
    </row>
    <row r="21" spans="1:14" x14ac:dyDescent="0.2">
      <c r="A21" s="115" t="s">
        <v>13</v>
      </c>
      <c r="B21" s="115"/>
      <c r="C21" s="115"/>
      <c r="D21" s="12"/>
      <c r="E21" s="12"/>
      <c r="F21" s="12"/>
      <c r="G21" s="12"/>
      <c r="H21" s="12"/>
      <c r="I21" s="12"/>
      <c r="J21" s="12"/>
      <c r="K21" s="12"/>
      <c r="L21" s="12"/>
      <c r="M21" s="12"/>
      <c r="N21" s="12"/>
    </row>
    <row r="22" spans="1:14" x14ac:dyDescent="0.2">
      <c r="A22" s="115"/>
      <c r="B22" s="115"/>
      <c r="C22" s="115"/>
      <c r="D22" s="12"/>
      <c r="E22" s="12"/>
      <c r="F22" s="12"/>
      <c r="G22" s="12"/>
      <c r="H22" s="12"/>
      <c r="I22" s="12"/>
      <c r="J22" s="12"/>
      <c r="K22" s="12"/>
      <c r="L22" s="12"/>
      <c r="M22" s="12"/>
      <c r="N22" s="12"/>
    </row>
    <row r="23" spans="1:14" x14ac:dyDescent="0.2">
      <c r="A23" s="12"/>
      <c r="B23" s="12"/>
      <c r="C23" s="12"/>
      <c r="D23" s="12"/>
      <c r="E23" s="12"/>
      <c r="F23" s="12"/>
      <c r="G23" s="12"/>
      <c r="H23" s="12"/>
      <c r="I23" s="12"/>
      <c r="J23" s="12"/>
      <c r="K23" s="12"/>
      <c r="L23" s="12"/>
      <c r="M23" s="12"/>
      <c r="N23" s="12"/>
    </row>
    <row r="24" spans="1:14" ht="41.25" customHeight="1" x14ac:dyDescent="0.2">
      <c r="A24" s="10" t="s">
        <v>0</v>
      </c>
      <c r="B24" s="10" t="s">
        <v>18</v>
      </c>
      <c r="C24" s="116" t="s">
        <v>19</v>
      </c>
      <c r="D24" s="116"/>
      <c r="E24" s="116"/>
      <c r="F24" s="10" t="s">
        <v>20</v>
      </c>
      <c r="G24" s="10" t="s">
        <v>21</v>
      </c>
      <c r="H24" s="10" t="s">
        <v>22</v>
      </c>
      <c r="I24" s="10" t="s">
        <v>23</v>
      </c>
      <c r="J24" s="10" t="s">
        <v>98</v>
      </c>
      <c r="K24" s="10" t="s">
        <v>99</v>
      </c>
      <c r="L24" s="10" t="s">
        <v>24</v>
      </c>
      <c r="M24" s="10" t="s">
        <v>25</v>
      </c>
      <c r="N24" s="10" t="s">
        <v>26</v>
      </c>
    </row>
    <row r="25" spans="1:14" ht="15.75" x14ac:dyDescent="0.2">
      <c r="A25" s="201" t="s">
        <v>4</v>
      </c>
      <c r="B25" s="201">
        <v>99.8</v>
      </c>
      <c r="C25" s="202">
        <v>2.7388914144284962</v>
      </c>
      <c r="D25" s="203"/>
      <c r="E25" s="204"/>
      <c r="F25" s="201">
        <v>0.11716674916985161</v>
      </c>
      <c r="G25" s="205">
        <v>12.200759601156761</v>
      </c>
      <c r="H25" s="201">
        <v>2.15</v>
      </c>
      <c r="I25" s="201">
        <v>0.60386769431974074</v>
      </c>
      <c r="J25" s="201">
        <v>2.9692297215841754</v>
      </c>
      <c r="K25" s="201">
        <v>2.5238270108082199</v>
      </c>
      <c r="L25" s="201">
        <v>0.4454027107759555</v>
      </c>
      <c r="M25" s="201">
        <v>2.2604410700088708E-2</v>
      </c>
      <c r="N25" s="206">
        <v>7.1222809432553182</v>
      </c>
    </row>
    <row r="26" spans="1:14" x14ac:dyDescent="0.2">
      <c r="A26" s="12"/>
      <c r="B26" s="12"/>
      <c r="C26" s="12"/>
      <c r="D26" s="12"/>
      <c r="E26" s="12"/>
      <c r="F26" s="12"/>
      <c r="G26" s="12"/>
      <c r="H26" s="12"/>
      <c r="I26" s="12"/>
      <c r="J26" s="12"/>
      <c r="K26" s="12"/>
      <c r="L26" s="12"/>
      <c r="M26" s="12"/>
      <c r="N26" s="12"/>
    </row>
    <row r="27" spans="1:14" x14ac:dyDescent="0.2">
      <c r="A27" s="12"/>
      <c r="B27" s="12"/>
      <c r="C27" s="12"/>
      <c r="D27" s="12"/>
      <c r="E27" s="12"/>
      <c r="F27" s="12"/>
      <c r="G27" s="12"/>
      <c r="H27" s="12"/>
      <c r="I27" s="12"/>
      <c r="J27" s="12"/>
      <c r="K27" s="12"/>
      <c r="L27" s="12"/>
      <c r="M27" s="12"/>
      <c r="N27" s="12"/>
    </row>
    <row r="28" spans="1:14" x14ac:dyDescent="0.2">
      <c r="A28" s="12"/>
      <c r="B28" s="12"/>
      <c r="C28" s="12"/>
      <c r="D28" s="12"/>
      <c r="E28" s="12"/>
      <c r="F28" s="12"/>
      <c r="G28" s="12"/>
      <c r="H28" s="12"/>
      <c r="I28" s="12"/>
      <c r="J28" s="12"/>
      <c r="K28" s="12"/>
      <c r="L28" s="12"/>
      <c r="M28" s="12"/>
      <c r="N28" s="12"/>
    </row>
    <row r="29" spans="1:14" x14ac:dyDescent="0.2">
      <c r="A29" s="12"/>
      <c r="B29" s="12"/>
      <c r="C29" s="12"/>
      <c r="D29" s="12"/>
      <c r="E29" s="12"/>
      <c r="F29" s="12"/>
      <c r="G29" s="12"/>
      <c r="H29" s="12"/>
      <c r="I29" s="12"/>
      <c r="J29" s="12"/>
      <c r="K29" s="12"/>
      <c r="L29" s="12"/>
      <c r="M29" s="12"/>
      <c r="N29" s="12"/>
    </row>
    <row r="30" spans="1:14" x14ac:dyDescent="0.2">
      <c r="A30" s="115" t="s">
        <v>14</v>
      </c>
      <c r="B30" s="115"/>
      <c r="C30" s="115"/>
      <c r="D30" s="12"/>
      <c r="E30" s="12"/>
      <c r="F30" s="12"/>
      <c r="G30" s="12"/>
      <c r="H30" s="12"/>
      <c r="I30" s="12"/>
      <c r="J30" s="12"/>
      <c r="K30" s="12"/>
      <c r="L30" s="12"/>
      <c r="M30" s="12"/>
      <c r="N30" s="12"/>
    </row>
    <row r="31" spans="1:14" x14ac:dyDescent="0.2">
      <c r="A31" s="115"/>
      <c r="B31" s="115"/>
      <c r="C31" s="115"/>
      <c r="D31" s="12"/>
      <c r="E31" s="12"/>
      <c r="F31" s="12"/>
      <c r="G31" s="12"/>
      <c r="H31" s="12"/>
      <c r="I31" s="12"/>
      <c r="J31" s="12"/>
      <c r="K31" s="12"/>
      <c r="L31" s="12"/>
      <c r="M31" s="12"/>
      <c r="N31" s="12"/>
    </row>
    <row r="32" spans="1:14" x14ac:dyDescent="0.2">
      <c r="A32" s="12"/>
      <c r="B32" s="12"/>
      <c r="C32" s="12"/>
      <c r="D32" s="12"/>
      <c r="E32" s="12"/>
      <c r="F32" s="12"/>
      <c r="G32" s="12"/>
      <c r="H32" s="12"/>
      <c r="I32" s="12"/>
      <c r="J32" s="12"/>
      <c r="K32" s="12"/>
      <c r="L32" s="12"/>
      <c r="M32" s="12"/>
      <c r="N32" s="12"/>
    </row>
    <row r="33" spans="1:14" ht="41.25" customHeight="1" x14ac:dyDescent="0.2">
      <c r="A33" s="10" t="s">
        <v>0</v>
      </c>
      <c r="B33" s="10" t="s">
        <v>18</v>
      </c>
      <c r="C33" s="116" t="s">
        <v>19</v>
      </c>
      <c r="D33" s="116"/>
      <c r="E33" s="116"/>
      <c r="F33" s="10" t="s">
        <v>20</v>
      </c>
      <c r="G33" s="10" t="s">
        <v>21</v>
      </c>
      <c r="H33" s="10" t="s">
        <v>22</v>
      </c>
      <c r="I33" s="10" t="s">
        <v>23</v>
      </c>
      <c r="J33" s="10" t="s">
        <v>98</v>
      </c>
      <c r="K33" s="10" t="s">
        <v>99</v>
      </c>
      <c r="L33" s="10" t="s">
        <v>24</v>
      </c>
      <c r="M33" s="10" t="s">
        <v>25</v>
      </c>
      <c r="N33" s="10" t="s">
        <v>26</v>
      </c>
    </row>
    <row r="34" spans="1:14" ht="15.75" x14ac:dyDescent="0.2">
      <c r="A34" s="201" t="s">
        <v>4</v>
      </c>
      <c r="B34" s="201">
        <v>99.8</v>
      </c>
      <c r="C34" s="202">
        <v>3.3196317665690143</v>
      </c>
      <c r="D34" s="203"/>
      <c r="E34" s="204"/>
      <c r="F34" s="201">
        <v>0.14030197645028827</v>
      </c>
      <c r="G34" s="205">
        <v>14.175834935879475</v>
      </c>
      <c r="H34" s="201">
        <v>2.42</v>
      </c>
      <c r="I34" s="201">
        <v>0.52772317477350339</v>
      </c>
      <c r="J34" s="201">
        <v>3.9710928681499329</v>
      </c>
      <c r="K34" s="201">
        <v>2.7605959861039873</v>
      </c>
      <c r="L34" s="201">
        <v>1.2104968820459456</v>
      </c>
      <c r="M34" s="201">
        <v>3.0183046490913329E-2</v>
      </c>
      <c r="N34" s="206">
        <v>11.563106888740574</v>
      </c>
    </row>
    <row r="35" spans="1:14" x14ac:dyDescent="0.2">
      <c r="A35" s="12"/>
      <c r="B35" s="12"/>
      <c r="C35" s="12"/>
      <c r="D35" s="12"/>
      <c r="E35" s="12"/>
      <c r="F35" s="12"/>
      <c r="G35" s="12"/>
      <c r="H35" s="12"/>
      <c r="I35" s="12"/>
      <c r="J35" s="12"/>
      <c r="K35" s="12"/>
      <c r="L35" s="12"/>
      <c r="M35" s="12"/>
      <c r="N35" s="12"/>
    </row>
    <row r="36" spans="1:14" x14ac:dyDescent="0.2">
      <c r="A36" s="115" t="s">
        <v>16</v>
      </c>
      <c r="B36" s="115"/>
      <c r="C36" s="115"/>
      <c r="D36" s="12"/>
      <c r="E36" s="12"/>
      <c r="F36" s="12"/>
      <c r="G36" s="12"/>
      <c r="H36" s="12"/>
      <c r="I36" s="12"/>
      <c r="J36" s="12"/>
      <c r="K36" s="12"/>
      <c r="L36" s="12"/>
      <c r="M36" s="12"/>
      <c r="N36" s="12"/>
    </row>
    <row r="37" spans="1:14" x14ac:dyDescent="0.2">
      <c r="A37" s="115"/>
      <c r="B37" s="115"/>
      <c r="C37" s="115"/>
      <c r="D37" s="12"/>
      <c r="E37" s="12"/>
      <c r="F37" s="12"/>
      <c r="G37" s="12"/>
      <c r="H37" s="12"/>
      <c r="I37" s="12"/>
      <c r="J37" s="12"/>
      <c r="K37" s="12"/>
      <c r="L37" s="12"/>
      <c r="M37" s="12"/>
      <c r="N37" s="12"/>
    </row>
    <row r="38" spans="1:14" x14ac:dyDescent="0.2">
      <c r="A38" s="12"/>
      <c r="B38" s="12"/>
      <c r="C38" s="12"/>
      <c r="D38" s="12"/>
      <c r="E38" s="12"/>
      <c r="F38" s="12"/>
      <c r="G38" s="12"/>
      <c r="H38" s="12"/>
      <c r="I38" s="12"/>
      <c r="J38" s="12"/>
      <c r="K38" s="12"/>
      <c r="L38" s="12"/>
      <c r="M38" s="12"/>
      <c r="N38" s="12"/>
    </row>
    <row r="39" spans="1:14" ht="41.25" customHeight="1" x14ac:dyDescent="0.2">
      <c r="A39" s="10" t="s">
        <v>0</v>
      </c>
      <c r="B39" s="10" t="s">
        <v>18</v>
      </c>
      <c r="C39" s="116" t="s">
        <v>19</v>
      </c>
      <c r="D39" s="116"/>
      <c r="E39" s="116"/>
      <c r="F39" s="10" t="s">
        <v>20</v>
      </c>
      <c r="G39" s="10" t="s">
        <v>21</v>
      </c>
      <c r="H39" s="10" t="s">
        <v>22</v>
      </c>
      <c r="I39" s="10" t="s">
        <v>23</v>
      </c>
      <c r="J39" s="10" t="s">
        <v>98</v>
      </c>
      <c r="K39" s="10" t="s">
        <v>99</v>
      </c>
      <c r="L39" s="10" t="s">
        <v>24</v>
      </c>
      <c r="M39" s="10" t="s">
        <v>25</v>
      </c>
      <c r="N39" s="10" t="s">
        <v>26</v>
      </c>
    </row>
    <row r="40" spans="1:14" ht="15.75" x14ac:dyDescent="0.2">
      <c r="A40" s="207" t="s">
        <v>15</v>
      </c>
      <c r="B40" s="201">
        <v>171</v>
      </c>
      <c r="C40" s="202">
        <v>5.5033878310218651E-2</v>
      </c>
      <c r="D40" s="203"/>
      <c r="E40" s="204"/>
      <c r="F40" s="201">
        <v>2.3337672521997989E-3</v>
      </c>
      <c r="G40" s="205">
        <v>16.702546734380181</v>
      </c>
      <c r="H40" s="201">
        <v>3.43</v>
      </c>
      <c r="I40" s="201">
        <v>0.97940453783811443</v>
      </c>
      <c r="J40" s="201">
        <v>6.7160902945086767E-2</v>
      </c>
      <c r="K40" s="201">
        <v>4.4897912321132369E-2</v>
      </c>
      <c r="L40" s="201">
        <v>2.2262990623954398E-2</v>
      </c>
      <c r="M40" s="201">
        <v>1.818650428495576E-2</v>
      </c>
      <c r="N40" s="206">
        <v>0.25342207505952635</v>
      </c>
    </row>
    <row r="41" spans="1:14" x14ac:dyDescent="0.2">
      <c r="A41" s="12"/>
      <c r="B41" s="12"/>
      <c r="C41" s="12"/>
      <c r="D41" s="12"/>
      <c r="E41" s="12"/>
      <c r="F41" s="12"/>
      <c r="G41" s="12"/>
      <c r="H41" s="12"/>
      <c r="I41" s="12"/>
      <c r="J41" s="12"/>
      <c r="K41" s="12"/>
      <c r="L41" s="12"/>
      <c r="M41" s="12"/>
      <c r="N41" s="12"/>
    </row>
    <row r="42" spans="1:14" ht="15" customHeight="1" x14ac:dyDescent="0.2">
      <c r="A42" s="115" t="s">
        <v>17</v>
      </c>
      <c r="B42" s="13"/>
      <c r="C42" s="13"/>
      <c r="D42" s="12"/>
      <c r="E42" s="12"/>
      <c r="F42" s="12"/>
      <c r="G42" s="12"/>
      <c r="H42" s="12"/>
      <c r="I42" s="12"/>
      <c r="J42" s="12"/>
      <c r="K42" s="12"/>
      <c r="L42" s="12"/>
      <c r="M42" s="12"/>
      <c r="N42" s="12"/>
    </row>
    <row r="43" spans="1:14" ht="15" customHeight="1" x14ac:dyDescent="0.2">
      <c r="A43" s="115"/>
      <c r="B43" s="13"/>
      <c r="C43" s="13"/>
      <c r="D43" s="12"/>
      <c r="E43" s="12"/>
      <c r="F43" s="12"/>
      <c r="G43" s="12"/>
      <c r="H43" s="12"/>
      <c r="I43" s="12"/>
      <c r="J43" s="12"/>
      <c r="K43" s="12"/>
      <c r="L43" s="12"/>
      <c r="M43" s="12"/>
      <c r="N43" s="12"/>
    </row>
    <row r="44" spans="1:14" x14ac:dyDescent="0.2">
      <c r="A44" s="12"/>
      <c r="B44" s="12"/>
      <c r="C44" s="12"/>
      <c r="D44" s="12"/>
      <c r="E44" s="12"/>
      <c r="F44" s="12"/>
      <c r="G44" s="12"/>
      <c r="H44" s="12"/>
      <c r="I44" s="12"/>
      <c r="J44" s="12"/>
      <c r="K44" s="12"/>
      <c r="L44" s="12"/>
      <c r="M44" s="12"/>
      <c r="N44" s="12"/>
    </row>
    <row r="45" spans="1:14" ht="41.25" customHeight="1" x14ac:dyDescent="0.2">
      <c r="A45" s="10" t="s">
        <v>0</v>
      </c>
      <c r="B45" s="10" t="s">
        <v>18</v>
      </c>
      <c r="C45" s="116" t="s">
        <v>19</v>
      </c>
      <c r="D45" s="116"/>
      <c r="E45" s="116"/>
      <c r="F45" s="10" t="s">
        <v>20</v>
      </c>
      <c r="G45" s="10" t="s">
        <v>21</v>
      </c>
      <c r="H45" s="10" t="s">
        <v>22</v>
      </c>
      <c r="I45" s="10" t="s">
        <v>23</v>
      </c>
      <c r="J45" s="10" t="s">
        <v>98</v>
      </c>
      <c r="K45" s="10" t="s">
        <v>99</v>
      </c>
      <c r="L45" s="10" t="s">
        <v>24</v>
      </c>
      <c r="M45" s="10" t="s">
        <v>25</v>
      </c>
      <c r="N45" s="10" t="s">
        <v>26</v>
      </c>
    </row>
    <row r="46" spans="1:14" ht="15.75" x14ac:dyDescent="0.2">
      <c r="A46" s="207" t="s">
        <v>15</v>
      </c>
      <c r="B46" s="201">
        <v>171</v>
      </c>
      <c r="C46" s="202">
        <v>4.589504368435611E-2</v>
      </c>
      <c r="D46" s="203"/>
      <c r="E46" s="204"/>
      <c r="F46" s="201">
        <v>1.9633392704713668E-3</v>
      </c>
      <c r="G46" s="205">
        <v>9.8919453547287954</v>
      </c>
      <c r="H46" s="201">
        <v>1.625</v>
      </c>
      <c r="I46" s="201">
        <v>0.99176030633033263</v>
      </c>
      <c r="J46" s="201">
        <v>5.0980923856587604E-2</v>
      </c>
      <c r="K46" s="201">
        <v>4.1266780963889534E-2</v>
      </c>
      <c r="L46" s="201">
        <v>9.7141428926980702E-3</v>
      </c>
      <c r="M46" s="201">
        <v>1.8239439155867267E-2</v>
      </c>
      <c r="N46" s="206">
        <v>0.12822955313819645</v>
      </c>
    </row>
    <row r="47" spans="1:14" ht="15.75" thickBot="1" x14ac:dyDescent="0.25"/>
    <row r="48" spans="1:14" ht="27" customHeight="1" thickBot="1" x14ac:dyDescent="0.25">
      <c r="J48" s="121" t="s">
        <v>153</v>
      </c>
      <c r="K48" s="122"/>
      <c r="L48" s="122"/>
      <c r="M48" s="122"/>
      <c r="N48" s="123"/>
    </row>
    <row r="49" spans="10:14" ht="28.5" customHeight="1" thickBot="1" x14ac:dyDescent="0.25">
      <c r="J49" s="117">
        <f>N40+N46+N34+N25+(N19*2)+(N13*2)+(N7*5)</f>
        <v>189.70144052686672</v>
      </c>
      <c r="K49" s="118"/>
      <c r="L49" s="118"/>
      <c r="M49" s="118"/>
      <c r="N49" s="119"/>
    </row>
  </sheetData>
  <mergeCells count="27">
    <mergeCell ref="R1:U1"/>
    <mergeCell ref="S3:U3"/>
    <mergeCell ref="V5:X5"/>
    <mergeCell ref="C6:E6"/>
    <mergeCell ref="C12:E12"/>
    <mergeCell ref="J48:N48"/>
    <mergeCell ref="A3:C4"/>
    <mergeCell ref="A9:C10"/>
    <mergeCell ref="A15:C16"/>
    <mergeCell ref="C7:D7"/>
    <mergeCell ref="C13:D13"/>
    <mergeCell ref="C18:E18"/>
    <mergeCell ref="A21:C22"/>
    <mergeCell ref="C24:E24"/>
    <mergeCell ref="C19:D19"/>
    <mergeCell ref="C25:D25"/>
    <mergeCell ref="A30:C31"/>
    <mergeCell ref="C33:E33"/>
    <mergeCell ref="I1:M1"/>
    <mergeCell ref="A36:C37"/>
    <mergeCell ref="C39:E39"/>
    <mergeCell ref="C34:D34"/>
    <mergeCell ref="J49:N49"/>
    <mergeCell ref="C45:E45"/>
    <mergeCell ref="A42:A43"/>
    <mergeCell ref="C40:D40"/>
    <mergeCell ref="C46:D46"/>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B9D6-B3F9-424C-95CB-732F3F47BE11}">
  <sheetPr>
    <tabColor rgb="FFFF5050"/>
  </sheetPr>
  <dimension ref="A1:T22"/>
  <sheetViews>
    <sheetView workbookViewId="0">
      <selection activeCell="G24" sqref="G24"/>
    </sheetView>
  </sheetViews>
  <sheetFormatPr defaultRowHeight="15" x14ac:dyDescent="0.2"/>
  <cols>
    <col min="1" max="1" width="17.33203125" customWidth="1"/>
    <col min="2" max="2" width="2.21875" customWidth="1"/>
    <col min="3" max="3" width="13.5546875" bestFit="1" customWidth="1"/>
    <col min="6" max="6" width="5.77734375" customWidth="1"/>
    <col min="11" max="11" width="20.21875" customWidth="1"/>
  </cols>
  <sheetData>
    <row r="1" spans="1:20" ht="28.5" thickBot="1" x14ac:dyDescent="0.45">
      <c r="A1" s="66" t="s">
        <v>228</v>
      </c>
      <c r="B1" s="66" t="s">
        <v>229</v>
      </c>
      <c r="C1" s="66"/>
      <c r="D1" s="105"/>
      <c r="E1" s="6"/>
      <c r="F1" s="6"/>
      <c r="K1" s="108" t="s">
        <v>227</v>
      </c>
      <c r="L1" s="109"/>
      <c r="M1" s="109"/>
      <c r="N1" s="110">
        <f>D22</f>
        <v>8747.75</v>
      </c>
      <c r="O1" s="111" t="s">
        <v>154</v>
      </c>
      <c r="Q1" s="155" t="s">
        <v>94</v>
      </c>
      <c r="R1" s="155"/>
      <c r="S1" s="155"/>
      <c r="T1" s="155"/>
    </row>
    <row r="2" spans="1:20" ht="26.25" x14ac:dyDescent="0.2">
      <c r="Q2" s="187"/>
      <c r="R2" s="187"/>
      <c r="S2" s="187"/>
      <c r="T2" s="187"/>
    </row>
    <row r="3" spans="1:20" x14ac:dyDescent="0.2">
      <c r="A3" t="s">
        <v>209</v>
      </c>
      <c r="C3" s="186" t="s">
        <v>210</v>
      </c>
      <c r="E3" t="s">
        <v>211</v>
      </c>
      <c r="G3" s="186">
        <v>205</v>
      </c>
      <c r="H3" t="s">
        <v>154</v>
      </c>
      <c r="Q3" s="54"/>
      <c r="R3" s="156" t="s">
        <v>139</v>
      </c>
      <c r="S3" s="156"/>
      <c r="T3" s="156"/>
    </row>
    <row r="4" spans="1:20" x14ac:dyDescent="0.2">
      <c r="C4" s="186" t="s">
        <v>212</v>
      </c>
      <c r="E4" s="105" t="s">
        <v>214</v>
      </c>
      <c r="G4" s="186">
        <v>1640</v>
      </c>
      <c r="H4" t="s">
        <v>154</v>
      </c>
    </row>
    <row r="7" spans="1:20" x14ac:dyDescent="0.2">
      <c r="A7" s="105" t="s">
        <v>215</v>
      </c>
      <c r="C7" s="186" t="s">
        <v>213</v>
      </c>
      <c r="E7" s="105" t="s">
        <v>211</v>
      </c>
      <c r="G7" s="186">
        <v>5144</v>
      </c>
      <c r="H7" t="s">
        <v>154</v>
      </c>
    </row>
    <row r="10" spans="1:20" x14ac:dyDescent="0.2">
      <c r="A10" s="105" t="s">
        <v>216</v>
      </c>
      <c r="C10" s="186" t="s">
        <v>217</v>
      </c>
      <c r="E10" t="s">
        <v>214</v>
      </c>
      <c r="G10" s="186">
        <v>615</v>
      </c>
      <c r="H10" t="s">
        <v>154</v>
      </c>
    </row>
    <row r="11" spans="1:20" x14ac:dyDescent="0.2">
      <c r="C11" s="186" t="s">
        <v>218</v>
      </c>
      <c r="E11" t="s">
        <v>214</v>
      </c>
      <c r="G11" s="186">
        <v>820</v>
      </c>
      <c r="H11" t="s">
        <v>154</v>
      </c>
    </row>
    <row r="12" spans="1:20" x14ac:dyDescent="0.2">
      <c r="C12" s="186" t="s">
        <v>219</v>
      </c>
      <c r="E12" s="105" t="s">
        <v>211</v>
      </c>
      <c r="G12" s="186">
        <v>71.75</v>
      </c>
      <c r="H12" t="s">
        <v>154</v>
      </c>
    </row>
    <row r="15" spans="1:20" x14ac:dyDescent="0.2">
      <c r="A15" t="s">
        <v>221</v>
      </c>
      <c r="C15" s="186">
        <v>4</v>
      </c>
      <c r="D15" t="s">
        <v>223</v>
      </c>
    </row>
    <row r="16" spans="1:20" x14ac:dyDescent="0.2">
      <c r="C16">
        <f>42*5</f>
        <v>210</v>
      </c>
      <c r="D16" t="s">
        <v>222</v>
      </c>
    </row>
    <row r="17" spans="1:7" x14ac:dyDescent="0.2">
      <c r="C17" s="107">
        <v>300</v>
      </c>
      <c r="D17" t="s">
        <v>225</v>
      </c>
    </row>
    <row r="19" spans="1:7" ht="15.75" x14ac:dyDescent="0.25">
      <c r="A19" s="65" t="s">
        <v>224</v>
      </c>
      <c r="C19">
        <f>C15*C16*C17</f>
        <v>252000</v>
      </c>
      <c r="D19" t="s">
        <v>226</v>
      </c>
      <c r="E19" s="70" t="s">
        <v>155</v>
      </c>
      <c r="F19" s="65">
        <f>C19/1000</f>
        <v>252</v>
      </c>
      <c r="G19" s="65" t="s">
        <v>154</v>
      </c>
    </row>
    <row r="21" spans="1:7" ht="15.75" thickBot="1" x14ac:dyDescent="0.25"/>
    <row r="22" spans="1:7" ht="16.5" thickBot="1" x14ac:dyDescent="0.3">
      <c r="A22" s="73" t="s">
        <v>220</v>
      </c>
      <c r="B22" s="74"/>
      <c r="C22" s="74"/>
      <c r="D22" s="104">
        <f>G3+G4+G7+G10+G11+G12+F19</f>
        <v>8747.75</v>
      </c>
      <c r="E22" s="75" t="s">
        <v>154</v>
      </c>
    </row>
  </sheetData>
  <mergeCells count="2">
    <mergeCell ref="Q1:T1"/>
    <mergeCell ref="R3:T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61A9-171B-4077-9953-12B3A58E514C}">
  <sheetPr>
    <tabColor theme="7" tint="0.39997558519241921"/>
  </sheetPr>
  <dimension ref="A1:Z136"/>
  <sheetViews>
    <sheetView workbookViewId="0">
      <selection activeCell="K2" sqref="K2"/>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208</v>
      </c>
    </row>
    <row r="5" spans="1:26" ht="15.75" x14ac:dyDescent="0.2">
      <c r="A5" s="52" t="s">
        <v>4</v>
      </c>
      <c r="B5" s="5">
        <f>N16</f>
        <v>99.8</v>
      </c>
      <c r="C5" s="147">
        <f>I22</f>
        <v>5.5583753455144533</v>
      </c>
      <c r="D5" s="147"/>
      <c r="E5" s="147"/>
      <c r="F5" s="5">
        <f>I18</f>
        <v>0.22716962696990878</v>
      </c>
      <c r="G5" s="5">
        <f>I13</f>
        <v>26.282000013564183</v>
      </c>
      <c r="H5" s="5">
        <f>N13</f>
        <v>2.1480000000000001</v>
      </c>
      <c r="I5" s="5">
        <f>I50</f>
        <v>0.42917569452644988</v>
      </c>
      <c r="J5" s="5">
        <f>I40</f>
        <v>5.9740919860796353</v>
      </c>
      <c r="K5" s="5">
        <f>J40</f>
        <v>5.1671054341247045</v>
      </c>
      <c r="L5" s="5">
        <f>J5-K5</f>
        <v>0.80698655195493085</v>
      </c>
      <c r="M5" s="5">
        <f>I34</f>
        <v>2.5545118439387341E-2</v>
      </c>
      <c r="N5" s="7">
        <f>I9</f>
        <v>23.891563951394424</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102</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26.282000013564183</v>
      </c>
      <c r="K8" s="16">
        <f>I18</f>
        <v>0.22716962696990878</v>
      </c>
      <c r="L8" s="49">
        <f>I34</f>
        <v>2.5545118439387341E-2</v>
      </c>
      <c r="M8" s="49">
        <f>I50</f>
        <v>0.42917569452644988</v>
      </c>
      <c r="O8" s="29"/>
      <c r="P8" s="26"/>
      <c r="Q8" s="20">
        <v>365</v>
      </c>
      <c r="R8" s="23" t="s">
        <v>92</v>
      </c>
      <c r="S8" s="24"/>
      <c r="T8" s="24"/>
      <c r="U8" s="24"/>
      <c r="V8" s="24"/>
      <c r="W8" s="22" t="s">
        <v>89</v>
      </c>
      <c r="X8" s="6"/>
      <c r="Y8" s="6"/>
      <c r="Z8" s="6"/>
    </row>
    <row r="9" spans="1:26" ht="18.75" x14ac:dyDescent="0.2">
      <c r="G9" s="27"/>
      <c r="H9" s="40" t="s">
        <v>140</v>
      </c>
      <c r="I9" s="2">
        <f>I8*J8*K8*L8*M8</f>
        <v>23.891563951394424</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3.8947022499999999</v>
      </c>
      <c r="K12" s="16">
        <f>N13</f>
        <v>2.1480000000000001</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26.282000013564183</v>
      </c>
      <c r="L13" s="11">
        <f>PI()</f>
        <v>3.1415926535897931</v>
      </c>
      <c r="M13" s="50">
        <v>1.9735</v>
      </c>
      <c r="N13" s="51">
        <v>2.1480000000000001</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99.8</v>
      </c>
      <c r="J16" s="25" t="s">
        <v>117</v>
      </c>
      <c r="K16" s="16"/>
      <c r="N16" s="52">
        <v>99.8</v>
      </c>
      <c r="O16" s="29"/>
      <c r="P16" s="26"/>
      <c r="R16" s="25"/>
      <c r="S16" s="25"/>
      <c r="T16" s="25"/>
      <c r="U16" s="25"/>
      <c r="V16" s="25"/>
    </row>
    <row r="17" spans="1:23" ht="38.25" x14ac:dyDescent="0.2">
      <c r="G17" s="27"/>
      <c r="H17" s="42" t="s">
        <v>115</v>
      </c>
      <c r="I17" s="16">
        <f>99.8*I22</f>
        <v>554.72585948234246</v>
      </c>
      <c r="J17" s="16">
        <f>8.3143*I27</f>
        <v>2441.9015291855994</v>
      </c>
      <c r="O17" s="29"/>
      <c r="P17" s="26"/>
      <c r="Q17" s="19" t="s">
        <v>62</v>
      </c>
      <c r="R17" s="124" t="s">
        <v>63</v>
      </c>
      <c r="S17" s="125"/>
      <c r="T17" s="125"/>
      <c r="U17" s="125"/>
      <c r="V17" s="126"/>
      <c r="W17" s="21" t="s">
        <v>142</v>
      </c>
    </row>
    <row r="18" spans="1:23" ht="18.75" x14ac:dyDescent="0.2">
      <c r="G18" s="27"/>
      <c r="H18" s="40" t="s">
        <v>114</v>
      </c>
      <c r="I18" s="4">
        <f>I17/J17</f>
        <v>0.22716962696990878</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6.0196199999999997</v>
      </c>
      <c r="M21" s="51">
        <v>1255.527</v>
      </c>
      <c r="N21" s="51">
        <v>217.3304</v>
      </c>
      <c r="O21" s="29"/>
      <c r="P21" s="26"/>
      <c r="Q21" s="19" t="s">
        <v>38</v>
      </c>
      <c r="R21" s="124" t="s">
        <v>39</v>
      </c>
      <c r="S21" s="125"/>
      <c r="T21" s="125"/>
      <c r="U21" s="125"/>
      <c r="V21" s="126"/>
      <c r="W21" s="21" t="s">
        <v>41</v>
      </c>
    </row>
    <row r="22" spans="1:23" ht="18.75" customHeight="1" x14ac:dyDescent="0.2">
      <c r="G22" s="27"/>
      <c r="H22" s="40" t="s">
        <v>107</v>
      </c>
      <c r="I22" s="4">
        <f>10^(L21-(M21/((N21-273)+I27)))</f>
        <v>5.5583753455144533</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0.54</v>
      </c>
      <c r="N25" s="51">
        <v>0</v>
      </c>
      <c r="O25" s="29"/>
      <c r="P25" s="26"/>
      <c r="Q25" s="19" t="s">
        <v>40</v>
      </c>
      <c r="R25" s="124" t="s">
        <v>51</v>
      </c>
      <c r="S25" s="125"/>
      <c r="T25" s="125"/>
      <c r="U25" s="125"/>
      <c r="V25" s="126"/>
      <c r="W25" s="21" t="s">
        <v>67</v>
      </c>
    </row>
    <row r="26" spans="1:23" ht="15.75" x14ac:dyDescent="0.2">
      <c r="G26" s="27"/>
      <c r="H26" s="42" t="s">
        <v>109</v>
      </c>
      <c r="I26" s="16">
        <f>0.44*M29</f>
        <v>128.91999999999999</v>
      </c>
      <c r="J26" s="16">
        <f>0.56*I31</f>
        <v>164.77899200000002</v>
      </c>
      <c r="K26" s="16">
        <f>0.00503*M25*N25</f>
        <v>0</v>
      </c>
      <c r="O26" s="29"/>
      <c r="P26" s="26"/>
      <c r="R26" s="25"/>
      <c r="S26" s="25"/>
      <c r="T26" s="25"/>
      <c r="U26" s="25"/>
      <c r="V26" s="25"/>
    </row>
    <row r="27" spans="1:23" ht="18.75" x14ac:dyDescent="0.2">
      <c r="G27" s="27"/>
      <c r="H27" s="40" t="s">
        <v>105</v>
      </c>
      <c r="I27" s="4">
        <f>I26+J26+K26</f>
        <v>293.69899199999998</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293</v>
      </c>
      <c r="N29" s="11">
        <f>M25</f>
        <v>0.54</v>
      </c>
      <c r="O29" s="29"/>
      <c r="P29" s="26"/>
      <c r="Q29" s="19" t="s">
        <v>46</v>
      </c>
      <c r="R29" s="124" t="s">
        <v>53</v>
      </c>
      <c r="S29" s="125"/>
      <c r="T29" s="125"/>
      <c r="U29" s="125"/>
      <c r="V29" s="126"/>
      <c r="W29" s="21" t="s">
        <v>67</v>
      </c>
    </row>
    <row r="30" spans="1:23" ht="15.75" x14ac:dyDescent="0.2">
      <c r="G30" s="27"/>
      <c r="H30" s="42" t="s">
        <v>106</v>
      </c>
      <c r="I30" s="16">
        <f>M29</f>
        <v>293</v>
      </c>
      <c r="J30" s="16">
        <f>3.33*N29</f>
        <v>1.7982000000000002</v>
      </c>
      <c r="K30" s="16">
        <f>-0.55</f>
        <v>-0.55000000000000004</v>
      </c>
      <c r="O30" s="29"/>
      <c r="P30" s="26"/>
      <c r="R30" s="25"/>
      <c r="S30" s="25"/>
      <c r="T30" s="25"/>
      <c r="U30" s="25"/>
      <c r="V30" s="25"/>
    </row>
    <row r="31" spans="1:23" ht="18.75" x14ac:dyDescent="0.2">
      <c r="G31" s="27"/>
      <c r="H31" s="40" t="s">
        <v>104</v>
      </c>
      <c r="I31" s="4">
        <f>I30+J30+K30</f>
        <v>294.2482</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1.9366767183184613E-2</v>
      </c>
      <c r="J33" s="16">
        <f>I41-N34</f>
        <v>0.59152538695493084</v>
      </c>
      <c r="K33" s="16">
        <f>M34-I22</f>
        <v>95.741624654485548</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2.5545118439387341E-2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0</v>
      </c>
      <c r="L36" s="11" t="s">
        <v>8</v>
      </c>
      <c r="M36" s="11" t="s">
        <v>50</v>
      </c>
      <c r="N36" s="11" t="s">
        <v>118</v>
      </c>
      <c r="O36" s="29"/>
      <c r="P36" s="26"/>
      <c r="R36" s="25"/>
      <c r="S36" s="25"/>
      <c r="T36" s="25"/>
      <c r="U36" s="25"/>
      <c r="V36" s="25"/>
    </row>
    <row r="37" spans="1:23" ht="38.25" x14ac:dyDescent="0.2">
      <c r="G37" s="27"/>
      <c r="H37" s="40" t="s">
        <v>119</v>
      </c>
      <c r="I37" s="4">
        <f>I36+J36</f>
        <v>5.6879999999999997</v>
      </c>
      <c r="J37" s="3"/>
      <c r="L37" s="11">
        <f>M25</f>
        <v>0.54</v>
      </c>
      <c r="M37" s="11">
        <f>N25</f>
        <v>0</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5.9740919860796353</v>
      </c>
      <c r="J40" s="16">
        <f>10^(L41-(M41/((I45-273)+N41)))</f>
        <v>5.1671054341247045</v>
      </c>
      <c r="L40" s="11" t="s">
        <v>1</v>
      </c>
      <c r="M40" s="11" t="s">
        <v>2</v>
      </c>
      <c r="N40" s="11" t="s">
        <v>3</v>
      </c>
      <c r="O40" s="29"/>
      <c r="P40" s="26"/>
      <c r="R40" s="25"/>
      <c r="S40" s="25"/>
      <c r="T40" s="25"/>
      <c r="U40" s="25"/>
      <c r="V40" s="25"/>
    </row>
    <row r="41" spans="1:23" ht="69.75" x14ac:dyDescent="0.2">
      <c r="G41" s="27"/>
      <c r="H41" s="40" t="s">
        <v>125</v>
      </c>
      <c r="I41" s="4">
        <f>I40-J40</f>
        <v>0.80698655195493085</v>
      </c>
      <c r="J41" s="3"/>
      <c r="L41" s="11">
        <f>L21</f>
        <v>6.0196199999999997</v>
      </c>
      <c r="M41" s="11">
        <f>M21</f>
        <v>1255.527</v>
      </c>
      <c r="N41" s="11">
        <f>N21</f>
        <v>217.3304</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295.120992</v>
      </c>
      <c r="J44" s="2"/>
      <c r="O44" s="29"/>
      <c r="P44" s="26"/>
      <c r="R44" s="25"/>
      <c r="S44" s="25"/>
      <c r="T44" s="25"/>
      <c r="U44" s="25"/>
      <c r="V44" s="25"/>
    </row>
    <row r="45" spans="1:23" ht="25.5" x14ac:dyDescent="0.2">
      <c r="A45" s="128" t="s">
        <v>122</v>
      </c>
      <c r="B45" s="128"/>
      <c r="C45" s="128"/>
      <c r="G45" s="27"/>
      <c r="H45" s="40" t="s">
        <v>124</v>
      </c>
      <c r="I45" s="4">
        <f>I27-(0.25*I37)</f>
        <v>292.27699199999995</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2.3300480729771862</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0.42917569452644988</v>
      </c>
      <c r="J50" s="4"/>
      <c r="M50" s="11">
        <f>I22</f>
        <v>5.5583753455144533</v>
      </c>
      <c r="N50" s="11">
        <f>N13</f>
        <v>2.1480000000000001</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A20:F20"/>
    <mergeCell ref="R6:V6"/>
    <mergeCell ref="A7:G7"/>
    <mergeCell ref="H7:N7"/>
    <mergeCell ref="A8:F8"/>
    <mergeCell ref="A12:E12"/>
    <mergeCell ref="Q12:Q13"/>
    <mergeCell ref="R12:V13"/>
    <mergeCell ref="W12:W13"/>
    <mergeCell ref="R15:V15"/>
    <mergeCell ref="A16:F16"/>
    <mergeCell ref="R17:V17"/>
    <mergeCell ref="R19:V19"/>
    <mergeCell ref="A32:F32"/>
    <mergeCell ref="R33:V33"/>
    <mergeCell ref="R35:V35"/>
    <mergeCell ref="A36:E36"/>
    <mergeCell ref="R21:V21"/>
    <mergeCell ref="L22:N22"/>
    <mergeCell ref="A24:F24"/>
    <mergeCell ref="R25:V25"/>
    <mergeCell ref="R27:V27"/>
    <mergeCell ref="A28:F28"/>
    <mergeCell ref="R51:V51"/>
    <mergeCell ref="L14:N14"/>
    <mergeCell ref="A44:C44"/>
    <mergeCell ref="A45:C45"/>
    <mergeCell ref="R45:V45"/>
    <mergeCell ref="R47:V47"/>
    <mergeCell ref="A49:F49"/>
    <mergeCell ref="R49:V49"/>
    <mergeCell ref="R37:V37"/>
    <mergeCell ref="R39:V39"/>
    <mergeCell ref="A40:G40"/>
    <mergeCell ref="R41:V41"/>
    <mergeCell ref="L42:N42"/>
    <mergeCell ref="R43:V43"/>
    <mergeCell ref="R29:V29"/>
    <mergeCell ref="R31:V31"/>
  </mergeCells>
  <conditionalFormatting sqref="M13">
    <cfRule type="cellIs" dxfId="93" priority="10" operator="notBetween">
      <formula>0</formula>
      <formula>100</formula>
    </cfRule>
  </conditionalFormatting>
  <conditionalFormatting sqref="N13">
    <cfRule type="cellIs" dxfId="92" priority="9" operator="notBetween">
      <formula>0</formula>
      <formula>100</formula>
    </cfRule>
  </conditionalFormatting>
  <conditionalFormatting sqref="N16">
    <cfRule type="cellIs" dxfId="91" priority="8" operator="notBetween">
      <formula>0</formula>
      <formula>1000</formula>
    </cfRule>
  </conditionalFormatting>
  <conditionalFormatting sqref="L21">
    <cfRule type="cellIs" dxfId="90" priority="7" operator="notBetween">
      <formula>0.1</formula>
      <formula>10</formula>
    </cfRule>
  </conditionalFormatting>
  <conditionalFormatting sqref="M21">
    <cfRule type="cellIs" dxfId="89" priority="6" operator="notBetween">
      <formula>500</formula>
      <formula>3000</formula>
    </cfRule>
  </conditionalFormatting>
  <conditionalFormatting sqref="N21">
    <cfRule type="cellIs" dxfId="88" priority="5" operator="notBetween">
      <formula>100</formula>
      <formula>300</formula>
    </cfRule>
  </conditionalFormatting>
  <conditionalFormatting sqref="M25">
    <cfRule type="cellIs" dxfId="87" priority="4" operator="notBetween">
      <formula>0</formula>
      <formula>1</formula>
    </cfRule>
  </conditionalFormatting>
  <conditionalFormatting sqref="N25">
    <cfRule type="cellIs" dxfId="86" priority="3" operator="notBetween">
      <formula>0</formula>
      <formula>1500</formula>
    </cfRule>
  </conditionalFormatting>
  <conditionalFormatting sqref="M29">
    <cfRule type="cellIs" dxfId="85" priority="2" operator="notBetween">
      <formula>263</formula>
      <formula>303</formula>
    </cfRule>
  </conditionalFormatting>
  <conditionalFormatting sqref="N37">
    <cfRule type="cellIs" dxfId="84" priority="1" operator="notBetween">
      <formula>0</formula>
      <formula>30</formula>
    </cfRule>
  </conditionalFormatting>
  <printOptions gridLines="1"/>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AA72-E090-481E-8B61-CA8BEB3695BB}">
  <sheetPr>
    <tabColor theme="7" tint="0.39997558519241921"/>
  </sheetPr>
  <dimension ref="A1:Z136"/>
  <sheetViews>
    <sheetView workbookViewId="0">
      <selection activeCell="H1" sqref="H1"/>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4</v>
      </c>
      <c r="B5" s="5">
        <f>N16</f>
        <v>99.8</v>
      </c>
      <c r="C5" s="147">
        <f>I22</f>
        <v>5.4795141407951506</v>
      </c>
      <c r="D5" s="147"/>
      <c r="E5" s="147"/>
      <c r="F5" s="5">
        <f>I18</f>
        <v>0.22416007706273003</v>
      </c>
      <c r="G5" s="5">
        <f>I13</f>
        <v>12.689394779487959</v>
      </c>
      <c r="H5" s="5">
        <f>N13</f>
        <v>1.3280000000000001</v>
      </c>
      <c r="I5" s="5">
        <f>I50</f>
        <v>0.55229244659106236</v>
      </c>
      <c r="J5" s="5">
        <f>I40</f>
        <v>5.8903298914913691</v>
      </c>
      <c r="K5" s="5">
        <f>J40</f>
        <v>5.0929175222861343</v>
      </c>
      <c r="L5" s="5">
        <f>J5-K5</f>
        <v>0.79741236920523484</v>
      </c>
      <c r="M5" s="5">
        <f>I34</f>
        <v>2.5458578248773199E-2</v>
      </c>
      <c r="N5" s="7">
        <f>I9</f>
        <v>14.59806492351297</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145</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12.689394779487959</v>
      </c>
      <c r="K8" s="16">
        <f>I18</f>
        <v>0.22416007706273003</v>
      </c>
      <c r="L8" s="49">
        <f>I34</f>
        <v>2.5458578248773199E-2</v>
      </c>
      <c r="M8" s="49">
        <f>I50</f>
        <v>0.55229244659106236</v>
      </c>
      <c r="O8" s="29"/>
      <c r="P8" s="26"/>
      <c r="Q8" s="20">
        <v>365</v>
      </c>
      <c r="R8" s="23" t="s">
        <v>92</v>
      </c>
      <c r="S8" s="24"/>
      <c r="T8" s="24"/>
      <c r="U8" s="24"/>
      <c r="V8" s="24"/>
      <c r="W8" s="22" t="s">
        <v>89</v>
      </c>
      <c r="X8" s="6"/>
      <c r="Y8" s="6"/>
      <c r="Z8" s="6"/>
    </row>
    <row r="9" spans="1:26" ht="18.75" x14ac:dyDescent="0.2">
      <c r="G9" s="27"/>
      <c r="H9" s="40" t="s">
        <v>140</v>
      </c>
      <c r="I9" s="2">
        <f>I8*J8*K8*L8*M8</f>
        <v>14.59806492351297</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3.0415359999999998</v>
      </c>
      <c r="K12" s="16">
        <f>N13</f>
        <v>1.3280000000000001</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12.689394779487959</v>
      </c>
      <c r="L13" s="11">
        <f>PI()</f>
        <v>3.1415926535897931</v>
      </c>
      <c r="M13" s="50">
        <v>1.744</v>
      </c>
      <c r="N13" s="51">
        <v>1.3280000000000001</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99.8</v>
      </c>
      <c r="J16" s="25" t="s">
        <v>117</v>
      </c>
      <c r="K16" s="16"/>
      <c r="N16" s="52">
        <v>99.8</v>
      </c>
      <c r="O16" s="29"/>
      <c r="P16" s="26"/>
      <c r="R16" s="25"/>
      <c r="S16" s="25"/>
      <c r="T16" s="25"/>
      <c r="U16" s="25"/>
      <c r="V16" s="25"/>
    </row>
    <row r="17" spans="1:23" ht="38.25" x14ac:dyDescent="0.2">
      <c r="G17" s="27"/>
      <c r="H17" s="42" t="s">
        <v>115</v>
      </c>
      <c r="I17" s="16">
        <f>99.8*I22</f>
        <v>546.85551125135601</v>
      </c>
      <c r="J17" s="16">
        <f>8.3143*I27</f>
        <v>2439.5758531895995</v>
      </c>
      <c r="O17" s="29"/>
      <c r="P17" s="26"/>
      <c r="Q17" s="19" t="s">
        <v>62</v>
      </c>
      <c r="R17" s="124" t="s">
        <v>63</v>
      </c>
      <c r="S17" s="125"/>
      <c r="T17" s="125"/>
      <c r="U17" s="125"/>
      <c r="V17" s="126"/>
      <c r="W17" s="21" t="s">
        <v>142</v>
      </c>
    </row>
    <row r="18" spans="1:23" ht="18.75" x14ac:dyDescent="0.2">
      <c r="G18" s="27"/>
      <c r="H18" s="40" t="s">
        <v>114</v>
      </c>
      <c r="I18" s="4">
        <f>I17/J17</f>
        <v>0.22416007706273003</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6.0196199999999997</v>
      </c>
      <c r="M21" s="51">
        <v>1255.527</v>
      </c>
      <c r="N21" s="51">
        <v>217.3304</v>
      </c>
      <c r="O21" s="29"/>
      <c r="P21" s="26"/>
      <c r="Q21" s="19" t="s">
        <v>38</v>
      </c>
      <c r="R21" s="124" t="s">
        <v>39</v>
      </c>
      <c r="S21" s="125"/>
      <c r="T21" s="125"/>
      <c r="U21" s="125"/>
      <c r="V21" s="126"/>
      <c r="W21" s="21" t="s">
        <v>41</v>
      </c>
    </row>
    <row r="22" spans="1:23" ht="18.75" customHeight="1" x14ac:dyDescent="0.2">
      <c r="G22" s="27"/>
      <c r="H22" s="40" t="s">
        <v>107</v>
      </c>
      <c r="I22" s="4">
        <f>10^(L21-(M21/((N21-273)+I27)))</f>
        <v>5.4795141407951506</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0.39</v>
      </c>
      <c r="N25" s="51">
        <v>0</v>
      </c>
      <c r="O25" s="29"/>
      <c r="P25" s="26"/>
      <c r="Q25" s="19" t="s">
        <v>40</v>
      </c>
      <c r="R25" s="124" t="s">
        <v>51</v>
      </c>
      <c r="S25" s="125"/>
      <c r="T25" s="125"/>
      <c r="U25" s="125"/>
      <c r="V25" s="126"/>
      <c r="W25" s="21" t="s">
        <v>67</v>
      </c>
    </row>
    <row r="26" spans="1:23" ht="15.75" x14ac:dyDescent="0.2">
      <c r="G26" s="27"/>
      <c r="H26" s="42" t="s">
        <v>109</v>
      </c>
      <c r="I26" s="16">
        <f>0.44*M29</f>
        <v>128.91999999999999</v>
      </c>
      <c r="J26" s="16">
        <f>0.56*I31</f>
        <v>164.49927200000002</v>
      </c>
      <c r="K26" s="16">
        <f>0.00503*M25*N25</f>
        <v>0</v>
      </c>
      <c r="O26" s="29"/>
      <c r="P26" s="26"/>
      <c r="R26" s="25"/>
      <c r="S26" s="25"/>
      <c r="T26" s="25"/>
      <c r="U26" s="25"/>
      <c r="V26" s="25"/>
    </row>
    <row r="27" spans="1:23" ht="18.75" x14ac:dyDescent="0.2">
      <c r="G27" s="27"/>
      <c r="H27" s="40" t="s">
        <v>105</v>
      </c>
      <c r="I27" s="4">
        <f>I26+J26+K26</f>
        <v>293.41927199999998</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293</v>
      </c>
      <c r="N29" s="11">
        <f>M25</f>
        <v>0.39</v>
      </c>
      <c r="O29" s="29"/>
      <c r="P29" s="26"/>
      <c r="Q29" s="19" t="s">
        <v>46</v>
      </c>
      <c r="R29" s="124" t="s">
        <v>53</v>
      </c>
      <c r="S29" s="125"/>
      <c r="T29" s="125"/>
      <c r="U29" s="125"/>
      <c r="V29" s="126"/>
      <c r="W29" s="21" t="s">
        <v>67</v>
      </c>
    </row>
    <row r="30" spans="1:23" ht="15.75" x14ac:dyDescent="0.2">
      <c r="G30" s="27"/>
      <c r="H30" s="42" t="s">
        <v>106</v>
      </c>
      <c r="I30" s="16">
        <f>M29</f>
        <v>293</v>
      </c>
      <c r="J30" s="16">
        <f>3.33*N29</f>
        <v>1.2987</v>
      </c>
      <c r="K30" s="16">
        <f>-0.55</f>
        <v>-0.55000000000000004</v>
      </c>
      <c r="O30" s="29"/>
      <c r="P30" s="26"/>
      <c r="R30" s="25"/>
      <c r="S30" s="25"/>
      <c r="T30" s="25"/>
      <c r="U30" s="25"/>
      <c r="V30" s="25"/>
    </row>
    <row r="31" spans="1:23" ht="18.75" x14ac:dyDescent="0.2">
      <c r="G31" s="27"/>
      <c r="H31" s="40" t="s">
        <v>104</v>
      </c>
      <c r="I31" s="4">
        <f>I30+J30+K30</f>
        <v>293.74869999999999</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1.9385229747281223E-2</v>
      </c>
      <c r="J33" s="16">
        <f>I41-N34</f>
        <v>0.58195120420523483</v>
      </c>
      <c r="K33" s="16">
        <f>M34-I22</f>
        <v>95.820485859204851</v>
      </c>
      <c r="M33" s="11" t="s">
        <v>129</v>
      </c>
      <c r="N33" s="11" t="s">
        <v>128</v>
      </c>
      <c r="O33" s="29"/>
      <c r="P33" s="26"/>
      <c r="Q33" s="19" t="s">
        <v>50</v>
      </c>
      <c r="R33" s="124" t="s">
        <v>149</v>
      </c>
      <c r="S33" s="125"/>
      <c r="T33" s="125"/>
      <c r="U33" s="125"/>
      <c r="V33" s="126"/>
      <c r="W33" s="21" t="s">
        <v>88</v>
      </c>
    </row>
    <row r="34" spans="1:23" ht="18.75" x14ac:dyDescent="0.2">
      <c r="G34" s="27"/>
      <c r="H34" s="40" t="s">
        <v>130</v>
      </c>
      <c r="I34" s="4">
        <f>I33+(J33/K33)</f>
        <v>2.5458578248773199E-2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0</v>
      </c>
      <c r="L36" s="11" t="s">
        <v>8</v>
      </c>
      <c r="M36" s="11" t="s">
        <v>50</v>
      </c>
      <c r="N36" s="11" t="s">
        <v>118</v>
      </c>
      <c r="O36" s="29"/>
      <c r="P36" s="26"/>
      <c r="R36" s="25"/>
      <c r="S36" s="25"/>
      <c r="T36" s="25"/>
      <c r="U36" s="25"/>
      <c r="V36" s="25"/>
    </row>
    <row r="37" spans="1:23" ht="38.25" x14ac:dyDescent="0.2">
      <c r="G37" s="27"/>
      <c r="H37" s="40" t="s">
        <v>119</v>
      </c>
      <c r="I37" s="4">
        <f>I36+J36</f>
        <v>5.6879999999999997</v>
      </c>
      <c r="J37" s="3"/>
      <c r="L37" s="11">
        <f>M25</f>
        <v>0.39</v>
      </c>
      <c r="M37" s="11">
        <f>N25</f>
        <v>0</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5.8903298914913691</v>
      </c>
      <c r="J40" s="16">
        <f>10^(L41-(M41/((I45-273)+N41)))</f>
        <v>5.0929175222861343</v>
      </c>
      <c r="L40" s="11" t="s">
        <v>1</v>
      </c>
      <c r="M40" s="11" t="s">
        <v>2</v>
      </c>
      <c r="N40" s="11" t="s">
        <v>3</v>
      </c>
      <c r="O40" s="29"/>
      <c r="P40" s="26"/>
      <c r="R40" s="25"/>
      <c r="S40" s="25"/>
      <c r="T40" s="25"/>
      <c r="U40" s="25"/>
      <c r="V40" s="25"/>
    </row>
    <row r="41" spans="1:23" ht="69.75" x14ac:dyDescent="0.2">
      <c r="G41" s="27"/>
      <c r="H41" s="40" t="s">
        <v>125</v>
      </c>
      <c r="I41" s="4">
        <f>I40-J40</f>
        <v>0.79741236920523484</v>
      </c>
      <c r="J41" s="3"/>
      <c r="L41" s="11">
        <f>L21</f>
        <v>6.0196199999999997</v>
      </c>
      <c r="M41" s="11">
        <f>M21</f>
        <v>1255.527</v>
      </c>
      <c r="N41" s="11">
        <f>N21</f>
        <v>217.3304</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294.841272</v>
      </c>
      <c r="J44" s="2"/>
      <c r="O44" s="29"/>
      <c r="P44" s="26"/>
      <c r="R44" s="25"/>
      <c r="S44" s="25"/>
      <c r="T44" s="25"/>
      <c r="U44" s="25"/>
      <c r="V44" s="25"/>
    </row>
    <row r="45" spans="1:23" ht="25.5" x14ac:dyDescent="0.2">
      <c r="A45" s="128" t="s">
        <v>122</v>
      </c>
      <c r="B45" s="128"/>
      <c r="C45" s="128"/>
      <c r="G45" s="27"/>
      <c r="H45" s="40" t="s">
        <v>124</v>
      </c>
      <c r="I45" s="4">
        <f>I27-(0.25*I37)</f>
        <v>291.99727199999995</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1.8106349383779219</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0.55229244659106236</v>
      </c>
      <c r="J50" s="4"/>
      <c r="M50" s="11">
        <f>I22</f>
        <v>5.4795141407951506</v>
      </c>
      <c r="N50" s="11">
        <f>N13</f>
        <v>1.3280000000000001</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83" priority="12" operator="notBetween">
      <formula>0</formula>
      <formula>100</formula>
    </cfRule>
  </conditionalFormatting>
  <conditionalFormatting sqref="N13">
    <cfRule type="cellIs" dxfId="82" priority="11" operator="notBetween">
      <formula>0</formula>
      <formula>100</formula>
    </cfRule>
  </conditionalFormatting>
  <conditionalFormatting sqref="N16">
    <cfRule type="cellIs" dxfId="81" priority="10" operator="notBetween">
      <formula>0</formula>
      <formula>1000</formula>
    </cfRule>
  </conditionalFormatting>
  <conditionalFormatting sqref="L21">
    <cfRule type="cellIs" dxfId="80" priority="9" operator="notBetween">
      <formula>0.1</formula>
      <formula>10</formula>
    </cfRule>
  </conditionalFormatting>
  <conditionalFormatting sqref="M21">
    <cfRule type="cellIs" dxfId="79" priority="8" operator="notBetween">
      <formula>500</formula>
      <formula>3000</formula>
    </cfRule>
  </conditionalFormatting>
  <conditionalFormatting sqref="N21">
    <cfRule type="cellIs" dxfId="78" priority="7" operator="notBetween">
      <formula>100</formula>
      <formula>300</formula>
    </cfRule>
  </conditionalFormatting>
  <conditionalFormatting sqref="M25">
    <cfRule type="cellIs" dxfId="77" priority="6" operator="notBetween">
      <formula>0</formula>
      <formula>1</formula>
    </cfRule>
  </conditionalFormatting>
  <conditionalFormatting sqref="N25">
    <cfRule type="cellIs" dxfId="76" priority="5" operator="notBetween">
      <formula>0</formula>
      <formula>1500</formula>
    </cfRule>
  </conditionalFormatting>
  <conditionalFormatting sqref="M29">
    <cfRule type="cellIs" dxfId="75" priority="4" operator="notBetween">
      <formula>263</formula>
      <formula>303</formula>
    </cfRule>
  </conditionalFormatting>
  <conditionalFormatting sqref="N37">
    <cfRule type="cellIs" dxfId="74" priority="3" operator="notBetween">
      <formula>0</formula>
      <formula>30</formula>
    </cfRule>
  </conditionalFormatting>
  <conditionalFormatting sqref="M13:N13 N16 L21:N21 M25:N25 M29 N37">
    <cfRule type="containsText" dxfId="73" priority="2" operator="containsText" text="x">
      <formula>NOT(ISERROR(SEARCH("x",L13)))</formula>
    </cfRule>
  </conditionalFormatting>
  <conditionalFormatting sqref="A5">
    <cfRule type="containsText" dxfId="72" priority="1" operator="containsText" text="x">
      <formula>NOT(ISERROR(SEARCH("x",A5)))</formula>
    </cfRule>
  </conditionalFormatting>
  <printOptions gridLines="1"/>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C81E-5439-46D5-A0D5-FB725F7D5342}">
  <sheetPr>
    <tabColor theme="7" tint="0.39997558519241921"/>
  </sheetPr>
  <dimension ref="A1:Z136"/>
  <sheetViews>
    <sheetView workbookViewId="0">
      <selection activeCell="H2" sqref="H2"/>
    </sheetView>
  </sheetViews>
  <sheetFormatPr defaultRowHeight="15" x14ac:dyDescent="0.2"/>
  <cols>
    <col min="1" max="2" width="8.88671875" style="1"/>
    <col min="3" max="3" width="6" style="1" customWidth="1"/>
    <col min="4" max="4" width="5.33203125" style="1" customWidth="1"/>
    <col min="5" max="5" width="5.44140625" style="1" customWidth="1"/>
    <col min="6" max="13" width="8.88671875" style="1"/>
    <col min="14" max="14" width="9.5546875" style="1" customWidth="1"/>
    <col min="15" max="15" width="2.77734375" style="1" customWidth="1"/>
    <col min="16" max="16" width="2.77734375" style="27" customWidth="1"/>
    <col min="17" max="17" width="8.88671875" style="17"/>
    <col min="18" max="21" width="8.88671875" style="9"/>
    <col min="22" max="22" width="17.33203125" style="9" customWidth="1"/>
    <col min="23" max="23" width="38.77734375" style="15" customWidth="1"/>
    <col min="24" max="16384" width="8.88671875" style="1"/>
  </cols>
  <sheetData>
    <row r="1" spans="1:26" ht="15" customHeight="1" x14ac:dyDescent="0.2">
      <c r="A1" s="148" t="s">
        <v>27</v>
      </c>
      <c r="B1" s="149"/>
      <c r="C1" s="150"/>
      <c r="E1" s="154"/>
      <c r="F1" s="154"/>
      <c r="G1" s="154"/>
      <c r="H1" s="18"/>
      <c r="I1" s="18"/>
      <c r="O1" s="29"/>
      <c r="P1" s="26"/>
      <c r="Q1" s="155" t="s">
        <v>94</v>
      </c>
      <c r="R1" s="155"/>
      <c r="S1" s="155"/>
      <c r="T1" s="155"/>
      <c r="U1" s="155"/>
      <c r="V1" s="155"/>
      <c r="W1" s="155"/>
    </row>
    <row r="2" spans="1:26" ht="15.75" customHeight="1" thickBot="1" x14ac:dyDescent="0.25">
      <c r="A2" s="151"/>
      <c r="B2" s="152"/>
      <c r="C2" s="153"/>
      <c r="E2" s="154"/>
      <c r="F2" s="154"/>
      <c r="G2" s="154"/>
      <c r="H2" s="18"/>
      <c r="I2" s="18"/>
      <c r="O2" s="29"/>
      <c r="P2" s="26"/>
      <c r="Q2" s="155"/>
      <c r="R2" s="155"/>
      <c r="S2" s="155"/>
      <c r="T2" s="155"/>
      <c r="U2" s="155"/>
      <c r="V2" s="155"/>
      <c r="W2" s="155"/>
    </row>
    <row r="3" spans="1:26" x14ac:dyDescent="0.2">
      <c r="O3" s="29"/>
      <c r="P3" s="26"/>
    </row>
    <row r="4" spans="1:26" ht="41.25" x14ac:dyDescent="0.2">
      <c r="A4" s="10" t="s">
        <v>0</v>
      </c>
      <c r="B4" s="10" t="s">
        <v>18</v>
      </c>
      <c r="C4" s="116" t="s">
        <v>19</v>
      </c>
      <c r="D4" s="116"/>
      <c r="E4" s="116"/>
      <c r="F4" s="10" t="s">
        <v>20</v>
      </c>
      <c r="G4" s="10" t="s">
        <v>21</v>
      </c>
      <c r="H4" s="10" t="s">
        <v>22</v>
      </c>
      <c r="I4" s="10" t="s">
        <v>23</v>
      </c>
      <c r="J4" s="10" t="s">
        <v>98</v>
      </c>
      <c r="K4" s="10" t="s">
        <v>99</v>
      </c>
      <c r="L4" s="10" t="s">
        <v>24</v>
      </c>
      <c r="M4" s="10" t="s">
        <v>25</v>
      </c>
      <c r="N4" s="10" t="s">
        <v>26</v>
      </c>
      <c r="O4" s="29"/>
      <c r="P4" s="26"/>
      <c r="Q4" s="54"/>
      <c r="R4" s="156" t="s">
        <v>139</v>
      </c>
      <c r="S4" s="156"/>
      <c r="T4" s="156"/>
      <c r="V4" s="55"/>
      <c r="W4" s="53" t="s">
        <v>141</v>
      </c>
    </row>
    <row r="5" spans="1:26" ht="15.75" x14ac:dyDescent="0.2">
      <c r="A5" s="52" t="s">
        <v>4</v>
      </c>
      <c r="B5" s="5">
        <f>N16</f>
        <v>99.8</v>
      </c>
      <c r="C5" s="147">
        <f>I22</f>
        <v>2.7388914144284962</v>
      </c>
      <c r="D5" s="147"/>
      <c r="E5" s="147"/>
      <c r="F5" s="5">
        <f>I18</f>
        <v>0.11716674916985161</v>
      </c>
      <c r="G5" s="5">
        <f>I13</f>
        <v>22.468921985886492</v>
      </c>
      <c r="H5" s="5">
        <f>N13</f>
        <v>3.2</v>
      </c>
      <c r="I5" s="5">
        <f>I50</f>
        <v>0.50598068885425351</v>
      </c>
      <c r="J5" s="5">
        <f>I40</f>
        <v>2.9692297215841754</v>
      </c>
      <c r="K5" s="5">
        <f>J40</f>
        <v>2.5238270108082199</v>
      </c>
      <c r="L5" s="5">
        <f>J5-K5</f>
        <v>0.4454027107759555</v>
      </c>
      <c r="M5" s="5">
        <f>I34</f>
        <v>2.2604410700088708E-2</v>
      </c>
      <c r="N5" s="7">
        <f>I9</f>
        <v>10.990225731337519</v>
      </c>
      <c r="O5" s="29"/>
      <c r="P5" s="26"/>
    </row>
    <row r="6" spans="1:26" x14ac:dyDescent="0.2">
      <c r="G6" s="39"/>
      <c r="H6" s="39"/>
      <c r="O6" s="29"/>
      <c r="P6" s="26"/>
      <c r="Q6" s="19" t="s">
        <v>95</v>
      </c>
      <c r="R6" s="133" t="s">
        <v>96</v>
      </c>
      <c r="S6" s="134"/>
      <c r="T6" s="134"/>
      <c r="U6" s="134"/>
      <c r="V6" s="135"/>
      <c r="W6" s="20" t="s">
        <v>97</v>
      </c>
    </row>
    <row r="7" spans="1:26" ht="35.25" customHeight="1" x14ac:dyDescent="0.2">
      <c r="A7" s="136" t="s">
        <v>100</v>
      </c>
      <c r="B7" s="136"/>
      <c r="C7" s="136"/>
      <c r="D7" s="136"/>
      <c r="E7" s="136"/>
      <c r="F7" s="136"/>
      <c r="G7" s="137"/>
      <c r="H7" s="138" t="s">
        <v>148</v>
      </c>
      <c r="I7" s="138"/>
      <c r="J7" s="138"/>
      <c r="K7" s="138"/>
      <c r="L7" s="138"/>
      <c r="M7" s="138"/>
      <c r="N7" s="138"/>
      <c r="O7" s="29"/>
      <c r="P7" s="26"/>
      <c r="X7" s="6"/>
      <c r="Y7" s="6"/>
      <c r="Z7" s="6"/>
    </row>
    <row r="8" spans="1:26" ht="38.25" customHeight="1" x14ac:dyDescent="0.2">
      <c r="A8" s="128" t="s">
        <v>101</v>
      </c>
      <c r="B8" s="128"/>
      <c r="C8" s="128"/>
      <c r="D8" s="128"/>
      <c r="E8" s="128"/>
      <c r="F8" s="128"/>
      <c r="G8" s="27"/>
      <c r="H8" s="48" t="s">
        <v>137</v>
      </c>
      <c r="I8" s="49">
        <v>365</v>
      </c>
      <c r="J8" s="49">
        <f>I13</f>
        <v>22.468921985886492</v>
      </c>
      <c r="K8" s="16">
        <f>I18</f>
        <v>0.11716674916985161</v>
      </c>
      <c r="L8" s="49">
        <f>I34</f>
        <v>2.2604410700088708E-2</v>
      </c>
      <c r="M8" s="49">
        <f>I50</f>
        <v>0.50598068885425351</v>
      </c>
      <c r="O8" s="29"/>
      <c r="P8" s="26"/>
      <c r="Q8" s="20">
        <v>365</v>
      </c>
      <c r="R8" s="23" t="s">
        <v>92</v>
      </c>
      <c r="S8" s="24"/>
      <c r="T8" s="24"/>
      <c r="U8" s="24"/>
      <c r="V8" s="24"/>
      <c r="W8" s="22" t="s">
        <v>89</v>
      </c>
      <c r="X8" s="6"/>
      <c r="Y8" s="6"/>
      <c r="Z8" s="6"/>
    </row>
    <row r="9" spans="1:26" ht="18.75" x14ac:dyDescent="0.2">
      <c r="G9" s="27"/>
      <c r="H9" s="40" t="s">
        <v>140</v>
      </c>
      <c r="I9" s="2">
        <f>I8*J8*K8*L8*M8</f>
        <v>10.990225731337519</v>
      </c>
      <c r="O9" s="29"/>
      <c r="P9" s="26"/>
      <c r="R9" s="25"/>
      <c r="S9" s="25"/>
      <c r="T9" s="25"/>
      <c r="U9" s="25"/>
      <c r="V9" s="25"/>
    </row>
    <row r="10" spans="1:26" ht="27" x14ac:dyDescent="0.2">
      <c r="G10" s="27"/>
      <c r="H10" s="28"/>
      <c r="O10" s="29"/>
      <c r="P10" s="26"/>
      <c r="Q10" s="19" t="s">
        <v>30</v>
      </c>
      <c r="R10" s="23" t="s">
        <v>29</v>
      </c>
      <c r="S10" s="24"/>
      <c r="T10" s="24"/>
      <c r="U10" s="24"/>
      <c r="V10" s="24"/>
      <c r="W10" s="22" t="s">
        <v>71</v>
      </c>
    </row>
    <row r="11" spans="1:26" x14ac:dyDescent="0.2">
      <c r="G11" s="27"/>
      <c r="H11" s="43"/>
      <c r="O11" s="29"/>
      <c r="P11" s="26"/>
      <c r="R11" s="25"/>
      <c r="S11" s="25"/>
      <c r="T11" s="25"/>
      <c r="U11" s="25"/>
      <c r="V11" s="25"/>
    </row>
    <row r="12" spans="1:26" ht="34.5" customHeight="1" x14ac:dyDescent="0.2">
      <c r="A12" s="128" t="s">
        <v>61</v>
      </c>
      <c r="B12" s="128"/>
      <c r="C12" s="128"/>
      <c r="D12" s="128"/>
      <c r="E12" s="128"/>
      <c r="G12" s="27"/>
      <c r="H12" s="42" t="s">
        <v>112</v>
      </c>
      <c r="I12" s="16">
        <f>L13</f>
        <v>3.1415926535897931</v>
      </c>
      <c r="J12" s="16">
        <f>M13^2</f>
        <v>2.2350250000000003</v>
      </c>
      <c r="K12" s="16">
        <f>N13</f>
        <v>3.2</v>
      </c>
      <c r="L12" s="11" t="s">
        <v>6</v>
      </c>
      <c r="M12" s="11" t="s">
        <v>110</v>
      </c>
      <c r="N12" s="11" t="s">
        <v>111</v>
      </c>
      <c r="O12" s="29"/>
      <c r="P12" s="26"/>
      <c r="Q12" s="139" t="s">
        <v>31</v>
      </c>
      <c r="R12" s="141" t="s">
        <v>33</v>
      </c>
      <c r="S12" s="142"/>
      <c r="T12" s="142"/>
      <c r="U12" s="142"/>
      <c r="V12" s="143"/>
      <c r="W12" s="130" t="s">
        <v>72</v>
      </c>
    </row>
    <row r="13" spans="1:26" ht="30.75" customHeight="1" x14ac:dyDescent="0.2">
      <c r="G13" s="27"/>
      <c r="H13" s="40" t="s">
        <v>103</v>
      </c>
      <c r="I13" s="41">
        <f>L13*(M13^2)*N13</f>
        <v>22.468921985886492</v>
      </c>
      <c r="L13" s="11">
        <f>PI()</f>
        <v>3.1415926535897931</v>
      </c>
      <c r="M13" s="50">
        <v>1.4950000000000001</v>
      </c>
      <c r="N13" s="51">
        <v>3.2</v>
      </c>
      <c r="O13" s="29"/>
      <c r="P13" s="26"/>
      <c r="Q13" s="140"/>
      <c r="R13" s="144"/>
      <c r="S13" s="145"/>
      <c r="T13" s="145"/>
      <c r="U13" s="145"/>
      <c r="V13" s="146"/>
      <c r="W13" s="131"/>
    </row>
    <row r="14" spans="1:26" x14ac:dyDescent="0.2">
      <c r="G14" s="27"/>
      <c r="H14" s="28"/>
      <c r="L14" s="127" t="s">
        <v>147</v>
      </c>
      <c r="M14" s="127"/>
      <c r="N14" s="127"/>
      <c r="O14" s="29"/>
      <c r="P14" s="26"/>
      <c r="R14" s="25"/>
      <c r="S14" s="25"/>
      <c r="T14" s="25"/>
      <c r="U14" s="25"/>
      <c r="V14" s="25"/>
    </row>
    <row r="15" spans="1:26" ht="25.5" x14ac:dyDescent="0.2">
      <c r="G15" s="27"/>
      <c r="H15" s="28"/>
      <c r="N15" s="5" t="s">
        <v>7</v>
      </c>
      <c r="O15" s="29"/>
      <c r="P15" s="26"/>
      <c r="Q15" s="19" t="s">
        <v>58</v>
      </c>
      <c r="R15" s="124" t="s">
        <v>59</v>
      </c>
      <c r="S15" s="125"/>
      <c r="T15" s="125"/>
      <c r="U15" s="125"/>
      <c r="V15" s="126"/>
      <c r="W15" s="21" t="s">
        <v>60</v>
      </c>
    </row>
    <row r="16" spans="1:26" ht="28.5" customHeight="1" x14ac:dyDescent="0.2">
      <c r="A16" s="128" t="s">
        <v>35</v>
      </c>
      <c r="B16" s="128"/>
      <c r="C16" s="128"/>
      <c r="D16" s="128"/>
      <c r="E16" s="128"/>
      <c r="F16" s="128"/>
      <c r="G16" s="27"/>
      <c r="H16" s="42" t="s">
        <v>116</v>
      </c>
      <c r="I16" s="16">
        <f>N16</f>
        <v>99.8</v>
      </c>
      <c r="J16" s="25" t="s">
        <v>117</v>
      </c>
      <c r="K16" s="16"/>
      <c r="N16" s="52">
        <v>99.8</v>
      </c>
      <c r="O16" s="29"/>
      <c r="P16" s="26"/>
      <c r="R16" s="25"/>
      <c r="S16" s="25"/>
      <c r="T16" s="25"/>
      <c r="U16" s="25"/>
      <c r="V16" s="25"/>
    </row>
    <row r="17" spans="1:23" ht="38.25" x14ac:dyDescent="0.2">
      <c r="G17" s="27"/>
      <c r="H17" s="42" t="s">
        <v>115</v>
      </c>
      <c r="I17" s="16">
        <f>99.8*I22</f>
        <v>273.34136315996392</v>
      </c>
      <c r="J17" s="16">
        <f>8.3143*I27</f>
        <v>2332.9260655999997</v>
      </c>
      <c r="O17" s="29"/>
      <c r="P17" s="26"/>
      <c r="Q17" s="19" t="s">
        <v>62</v>
      </c>
      <c r="R17" s="124" t="s">
        <v>63</v>
      </c>
      <c r="S17" s="125"/>
      <c r="T17" s="125"/>
      <c r="U17" s="125"/>
      <c r="V17" s="126"/>
      <c r="W17" s="21" t="s">
        <v>142</v>
      </c>
    </row>
    <row r="18" spans="1:23" ht="18.75" x14ac:dyDescent="0.2">
      <c r="G18" s="27"/>
      <c r="H18" s="40" t="s">
        <v>114</v>
      </c>
      <c r="I18" s="4">
        <f>I17/J17</f>
        <v>0.11716674916985161</v>
      </c>
      <c r="O18" s="29"/>
      <c r="P18" s="26"/>
      <c r="R18" s="25"/>
      <c r="S18" s="25"/>
      <c r="T18" s="25"/>
      <c r="U18" s="25"/>
      <c r="V18" s="25"/>
    </row>
    <row r="19" spans="1:23" ht="39.75" x14ac:dyDescent="0.2">
      <c r="G19" s="27"/>
      <c r="H19" s="28"/>
      <c r="O19" s="29"/>
      <c r="P19" s="26"/>
      <c r="Q19" s="19" t="s">
        <v>32</v>
      </c>
      <c r="R19" s="124" t="s">
        <v>34</v>
      </c>
      <c r="S19" s="125"/>
      <c r="T19" s="125"/>
      <c r="U19" s="125"/>
      <c r="V19" s="126"/>
      <c r="W19" s="21" t="s">
        <v>70</v>
      </c>
    </row>
    <row r="20" spans="1:23" ht="25.5" customHeight="1" x14ac:dyDescent="0.2">
      <c r="A20" s="132" t="s">
        <v>82</v>
      </c>
      <c r="B20" s="132"/>
      <c r="C20" s="132"/>
      <c r="D20" s="132"/>
      <c r="E20" s="132"/>
      <c r="F20" s="132"/>
      <c r="G20" s="27"/>
      <c r="H20" s="28"/>
      <c r="L20" s="11" t="s">
        <v>1</v>
      </c>
      <c r="M20" s="11" t="s">
        <v>2</v>
      </c>
      <c r="N20" s="11" t="s">
        <v>3</v>
      </c>
      <c r="O20" s="29"/>
      <c r="P20" s="26"/>
      <c r="R20" s="25"/>
      <c r="S20" s="25"/>
      <c r="T20" s="25"/>
      <c r="U20" s="25"/>
      <c r="V20" s="25"/>
    </row>
    <row r="21" spans="1:23" ht="25.5" x14ac:dyDescent="0.2">
      <c r="G21" s="27"/>
      <c r="H21" s="28"/>
      <c r="L21" s="51">
        <v>6.0196199999999997</v>
      </c>
      <c r="M21" s="51">
        <v>1255.527</v>
      </c>
      <c r="N21" s="51">
        <v>217.3304</v>
      </c>
      <c r="O21" s="29"/>
      <c r="P21" s="26"/>
      <c r="Q21" s="19" t="s">
        <v>38</v>
      </c>
      <c r="R21" s="124" t="s">
        <v>39</v>
      </c>
      <c r="S21" s="125"/>
      <c r="T21" s="125"/>
      <c r="U21" s="125"/>
      <c r="V21" s="126"/>
      <c r="W21" s="21" t="s">
        <v>41</v>
      </c>
    </row>
    <row r="22" spans="1:23" ht="18.75" customHeight="1" x14ac:dyDescent="0.2">
      <c r="G22" s="27"/>
      <c r="H22" s="40" t="s">
        <v>107</v>
      </c>
      <c r="I22" s="4">
        <f>10^(L21-(M21/((N21-273)+I27)))</f>
        <v>2.7388914144284962</v>
      </c>
      <c r="L22" s="127" t="s">
        <v>113</v>
      </c>
      <c r="M22" s="127"/>
      <c r="N22" s="127"/>
      <c r="O22" s="29"/>
      <c r="P22" s="26"/>
      <c r="R22" s="25"/>
      <c r="S22" s="25"/>
      <c r="T22" s="25"/>
      <c r="U22" s="25"/>
      <c r="V22" s="25"/>
      <c r="W22" s="20" t="s">
        <v>143</v>
      </c>
    </row>
    <row r="23" spans="1:23" ht="66.75" x14ac:dyDescent="0.2">
      <c r="G23" s="27"/>
      <c r="H23" s="28"/>
      <c r="M23" s="45"/>
      <c r="N23" s="45"/>
      <c r="O23" s="29"/>
      <c r="P23" s="26"/>
      <c r="R23" s="25"/>
      <c r="S23" s="25"/>
      <c r="T23" s="25"/>
      <c r="U23" s="25"/>
      <c r="V23" s="25"/>
      <c r="W23" s="22" t="s">
        <v>42</v>
      </c>
    </row>
    <row r="24" spans="1:23" ht="18.75" x14ac:dyDescent="0.2">
      <c r="A24" s="128" t="s">
        <v>43</v>
      </c>
      <c r="B24" s="128"/>
      <c r="C24" s="128"/>
      <c r="D24" s="128"/>
      <c r="E24" s="128"/>
      <c r="F24" s="128"/>
      <c r="G24" s="27"/>
      <c r="H24" s="28"/>
      <c r="L24" s="8"/>
      <c r="M24" s="11" t="s">
        <v>8</v>
      </c>
      <c r="N24" s="11" t="s">
        <v>50</v>
      </c>
      <c r="O24" s="29"/>
      <c r="P24" s="26"/>
      <c r="R24" s="25"/>
      <c r="S24" s="25"/>
      <c r="T24" s="25"/>
      <c r="U24" s="25"/>
      <c r="V24" s="25"/>
    </row>
    <row r="25" spans="1:23" ht="25.5" x14ac:dyDescent="0.2">
      <c r="C25" s="8" t="s">
        <v>138</v>
      </c>
      <c r="G25" s="44"/>
      <c r="M25" s="51">
        <v>0</v>
      </c>
      <c r="N25" s="51">
        <v>0</v>
      </c>
      <c r="O25" s="29"/>
      <c r="P25" s="26"/>
      <c r="Q25" s="19" t="s">
        <v>40</v>
      </c>
      <c r="R25" s="124" t="s">
        <v>51</v>
      </c>
      <c r="S25" s="125"/>
      <c r="T25" s="125"/>
      <c r="U25" s="125"/>
      <c r="V25" s="126"/>
      <c r="W25" s="21" t="s">
        <v>67</v>
      </c>
    </row>
    <row r="26" spans="1:23" ht="15.75" x14ac:dyDescent="0.2">
      <c r="G26" s="27"/>
      <c r="H26" s="42" t="s">
        <v>109</v>
      </c>
      <c r="I26" s="16">
        <f>0.44*M29</f>
        <v>123.59599999999999</v>
      </c>
      <c r="J26" s="16">
        <f>0.56*I31</f>
        <v>156.99600000000001</v>
      </c>
      <c r="K26" s="16">
        <f>0.00503*M25*N25</f>
        <v>0</v>
      </c>
      <c r="O26" s="29"/>
      <c r="P26" s="26"/>
      <c r="R26" s="25"/>
      <c r="S26" s="25"/>
      <c r="T26" s="25"/>
      <c r="U26" s="25"/>
      <c r="V26" s="25"/>
    </row>
    <row r="27" spans="1:23" ht="18.75" x14ac:dyDescent="0.2">
      <c r="G27" s="27"/>
      <c r="H27" s="40" t="s">
        <v>105</v>
      </c>
      <c r="I27" s="4">
        <f>I26+J26+K26</f>
        <v>280.59199999999998</v>
      </c>
      <c r="O27" s="29"/>
      <c r="P27" s="26"/>
      <c r="Q27" s="19" t="s">
        <v>44</v>
      </c>
      <c r="R27" s="124" t="s">
        <v>52</v>
      </c>
      <c r="S27" s="125"/>
      <c r="T27" s="125"/>
      <c r="U27" s="125"/>
      <c r="V27" s="126"/>
      <c r="W27" s="21" t="s">
        <v>45</v>
      </c>
    </row>
    <row r="28" spans="1:23" ht="18.75" x14ac:dyDescent="0.2">
      <c r="A28" s="128" t="s">
        <v>47</v>
      </c>
      <c r="B28" s="128"/>
      <c r="C28" s="128"/>
      <c r="D28" s="128"/>
      <c r="E28" s="128"/>
      <c r="F28" s="128"/>
      <c r="G28" s="27"/>
      <c r="H28" s="28"/>
      <c r="M28" s="11" t="s">
        <v>108</v>
      </c>
      <c r="N28" s="11" t="s">
        <v>8</v>
      </c>
      <c r="O28" s="29"/>
      <c r="P28" s="26"/>
      <c r="R28" s="25"/>
      <c r="S28" s="25"/>
      <c r="T28" s="25"/>
      <c r="U28" s="25"/>
      <c r="V28" s="25"/>
    </row>
    <row r="29" spans="1:23" ht="25.5" x14ac:dyDescent="0.2">
      <c r="G29" s="27"/>
      <c r="H29" s="28"/>
      <c r="M29" s="51">
        <v>280.89999999999998</v>
      </c>
      <c r="N29" s="11">
        <f>M25</f>
        <v>0</v>
      </c>
      <c r="O29" s="29"/>
      <c r="P29" s="26"/>
      <c r="Q29" s="19" t="s">
        <v>46</v>
      </c>
      <c r="R29" s="124" t="s">
        <v>53</v>
      </c>
      <c r="S29" s="125"/>
      <c r="T29" s="125"/>
      <c r="U29" s="125"/>
      <c r="V29" s="126"/>
      <c r="W29" s="21" t="s">
        <v>67</v>
      </c>
    </row>
    <row r="30" spans="1:23" ht="15.75" x14ac:dyDescent="0.2">
      <c r="G30" s="27"/>
      <c r="H30" s="42" t="s">
        <v>106</v>
      </c>
      <c r="I30" s="16">
        <f>M29</f>
        <v>280.89999999999998</v>
      </c>
      <c r="J30" s="16">
        <f>3.33*N29</f>
        <v>0</v>
      </c>
      <c r="K30" s="16">
        <f>-0.55</f>
        <v>-0.55000000000000004</v>
      </c>
      <c r="O30" s="29"/>
      <c r="P30" s="26"/>
      <c r="R30" s="25"/>
      <c r="S30" s="25"/>
      <c r="T30" s="25"/>
      <c r="U30" s="25"/>
      <c r="V30" s="25"/>
    </row>
    <row r="31" spans="1:23" ht="18.75" x14ac:dyDescent="0.2">
      <c r="G31" s="27"/>
      <c r="H31" s="40" t="s">
        <v>104</v>
      </c>
      <c r="I31" s="4">
        <f>I30+J30+K30</f>
        <v>280.34999999999997</v>
      </c>
      <c r="O31" s="29"/>
      <c r="P31" s="26"/>
      <c r="Q31" s="19" t="s">
        <v>8</v>
      </c>
      <c r="R31" s="124" t="s">
        <v>48</v>
      </c>
      <c r="S31" s="125"/>
      <c r="T31" s="125"/>
      <c r="U31" s="125"/>
      <c r="V31" s="126"/>
      <c r="W31" s="21" t="s">
        <v>49</v>
      </c>
    </row>
    <row r="32" spans="1:23" ht="18.75" x14ac:dyDescent="0.2">
      <c r="A32" s="128" t="s">
        <v>54</v>
      </c>
      <c r="B32" s="128"/>
      <c r="C32" s="128"/>
      <c r="D32" s="128"/>
      <c r="E32" s="128"/>
      <c r="F32" s="128"/>
      <c r="G32" s="27"/>
      <c r="H32" s="28"/>
      <c r="O32" s="29"/>
      <c r="P32" s="26"/>
      <c r="R32" s="25"/>
      <c r="S32" s="25"/>
      <c r="T32" s="25"/>
      <c r="U32" s="25"/>
      <c r="V32" s="25"/>
    </row>
    <row r="33" spans="1:23" ht="38.25" x14ac:dyDescent="0.2">
      <c r="G33" s="27"/>
      <c r="H33" s="42" t="s">
        <v>131</v>
      </c>
      <c r="I33" s="16">
        <f>I36/I27</f>
        <v>2.0271426127615899E-2</v>
      </c>
      <c r="J33" s="16">
        <f>I41-N34</f>
        <v>0.22994154577595549</v>
      </c>
      <c r="K33" s="16">
        <f>M34-I22</f>
        <v>98.561108585571503</v>
      </c>
      <c r="M33" s="11" t="s">
        <v>129</v>
      </c>
      <c r="N33" s="11" t="s">
        <v>128</v>
      </c>
      <c r="O33" s="29"/>
      <c r="P33" s="26"/>
      <c r="Q33" s="19" t="s">
        <v>50</v>
      </c>
      <c r="R33" s="124" t="s">
        <v>144</v>
      </c>
      <c r="S33" s="125"/>
      <c r="T33" s="125"/>
      <c r="U33" s="125"/>
      <c r="V33" s="126"/>
      <c r="W33" s="21" t="s">
        <v>88</v>
      </c>
    </row>
    <row r="34" spans="1:23" ht="18.75" x14ac:dyDescent="0.2">
      <c r="G34" s="27"/>
      <c r="H34" s="40" t="s">
        <v>130</v>
      </c>
      <c r="I34" s="4">
        <f>I33+(J33/K33)</f>
        <v>2.2604410700088708E-2</v>
      </c>
      <c r="M34" s="11">
        <v>101.3</v>
      </c>
      <c r="N34" s="11">
        <v>0.21546116500000001</v>
      </c>
      <c r="O34" s="29"/>
      <c r="P34" s="26"/>
      <c r="R34" s="25"/>
      <c r="S34" s="25"/>
      <c r="T34" s="25"/>
      <c r="U34" s="25"/>
      <c r="V34" s="25"/>
    </row>
    <row r="35" spans="1:23" ht="25.5" x14ac:dyDescent="0.2">
      <c r="G35" s="27"/>
      <c r="H35" s="28"/>
      <c r="O35" s="29"/>
      <c r="P35" s="26"/>
      <c r="Q35" s="19" t="s">
        <v>36</v>
      </c>
      <c r="R35" s="124" t="s">
        <v>37</v>
      </c>
      <c r="S35" s="125"/>
      <c r="T35" s="125"/>
      <c r="U35" s="125"/>
      <c r="V35" s="126"/>
      <c r="W35" s="21" t="s">
        <v>66</v>
      </c>
    </row>
    <row r="36" spans="1:23" ht="18.75" x14ac:dyDescent="0.2">
      <c r="A36" s="128" t="s">
        <v>55</v>
      </c>
      <c r="B36" s="128"/>
      <c r="C36" s="128"/>
      <c r="D36" s="128"/>
      <c r="E36" s="128"/>
      <c r="G36" s="27"/>
      <c r="H36" s="42" t="s">
        <v>120</v>
      </c>
      <c r="I36" s="16">
        <f>0.72*N37</f>
        <v>5.6879999999999997</v>
      </c>
      <c r="J36" s="16">
        <f>0.0155*L37*M37</f>
        <v>0</v>
      </c>
      <c r="L36" s="11" t="s">
        <v>8</v>
      </c>
      <c r="M36" s="11" t="s">
        <v>50</v>
      </c>
      <c r="N36" s="11" t="s">
        <v>118</v>
      </c>
      <c r="O36" s="29"/>
      <c r="P36" s="26"/>
      <c r="R36" s="25"/>
      <c r="S36" s="25"/>
      <c r="T36" s="25"/>
      <c r="U36" s="25"/>
      <c r="V36" s="25"/>
    </row>
    <row r="37" spans="1:23" ht="38.25" x14ac:dyDescent="0.2">
      <c r="G37" s="27"/>
      <c r="H37" s="40" t="s">
        <v>119</v>
      </c>
      <c r="I37" s="4">
        <f>I36+J36</f>
        <v>5.6879999999999997</v>
      </c>
      <c r="J37" s="3"/>
      <c r="L37" s="11">
        <f>M25</f>
        <v>0</v>
      </c>
      <c r="M37" s="11">
        <f>N25</f>
        <v>0</v>
      </c>
      <c r="N37" s="51">
        <v>7.9</v>
      </c>
      <c r="O37" s="29"/>
      <c r="P37" s="26"/>
      <c r="Q37" s="19" t="s">
        <v>56</v>
      </c>
      <c r="R37" s="124" t="s">
        <v>65</v>
      </c>
      <c r="S37" s="125"/>
      <c r="T37" s="125"/>
      <c r="U37" s="125"/>
      <c r="V37" s="126"/>
      <c r="W37" s="21" t="s">
        <v>68</v>
      </c>
    </row>
    <row r="38" spans="1:23" x14ac:dyDescent="0.2">
      <c r="G38" s="27"/>
      <c r="H38" s="28"/>
      <c r="O38" s="29"/>
      <c r="P38" s="26"/>
      <c r="R38" s="25"/>
      <c r="S38" s="25"/>
      <c r="T38" s="25"/>
      <c r="U38" s="25"/>
      <c r="V38" s="25"/>
    </row>
    <row r="39" spans="1:23" ht="38.25" x14ac:dyDescent="0.2">
      <c r="G39" s="27"/>
      <c r="H39" s="28"/>
      <c r="O39" s="29"/>
      <c r="P39" s="26"/>
      <c r="Q39" s="19" t="s">
        <v>64</v>
      </c>
      <c r="R39" s="124" t="s">
        <v>57</v>
      </c>
      <c r="S39" s="125"/>
      <c r="T39" s="125"/>
      <c r="U39" s="125"/>
      <c r="V39" s="126"/>
      <c r="W39" s="21" t="s">
        <v>69</v>
      </c>
    </row>
    <row r="40" spans="1:23" ht="18.75" x14ac:dyDescent="0.2">
      <c r="A40" s="128" t="s">
        <v>81</v>
      </c>
      <c r="B40" s="128"/>
      <c r="C40" s="128"/>
      <c r="D40" s="128"/>
      <c r="E40" s="128"/>
      <c r="F40" s="128"/>
      <c r="G40" s="129"/>
      <c r="H40" s="42" t="s">
        <v>126</v>
      </c>
      <c r="I40" s="16">
        <f>10^(L41-(M41/((I44-273)+N41)))</f>
        <v>2.9692297215841754</v>
      </c>
      <c r="J40" s="16">
        <f>10^(L41-(M41/((I45-273)+N41)))</f>
        <v>2.5238270108082199</v>
      </c>
      <c r="L40" s="11" t="s">
        <v>1</v>
      </c>
      <c r="M40" s="11" t="s">
        <v>2</v>
      </c>
      <c r="N40" s="11" t="s">
        <v>3</v>
      </c>
      <c r="O40" s="29"/>
      <c r="P40" s="26"/>
      <c r="R40" s="25"/>
      <c r="S40" s="25"/>
      <c r="T40" s="25"/>
      <c r="U40" s="25"/>
      <c r="V40" s="25"/>
    </row>
    <row r="41" spans="1:23" ht="69.75" x14ac:dyDescent="0.2">
      <c r="G41" s="27"/>
      <c r="H41" s="40" t="s">
        <v>125</v>
      </c>
      <c r="I41" s="4">
        <f>I40-J40</f>
        <v>0.4454027107759555</v>
      </c>
      <c r="J41" s="3"/>
      <c r="L41" s="11">
        <f>L21</f>
        <v>6.0196199999999997</v>
      </c>
      <c r="M41" s="11">
        <f>M21</f>
        <v>1255.527</v>
      </c>
      <c r="N41" s="11">
        <f>N21</f>
        <v>217.3304</v>
      </c>
      <c r="O41" s="29"/>
      <c r="P41" s="26"/>
      <c r="Q41" s="19" t="s">
        <v>73</v>
      </c>
      <c r="R41" s="124" t="s">
        <v>74</v>
      </c>
      <c r="S41" s="125"/>
      <c r="T41" s="125"/>
      <c r="U41" s="125"/>
      <c r="V41" s="126"/>
      <c r="W41" s="21" t="s">
        <v>75</v>
      </c>
    </row>
    <row r="42" spans="1:23" x14ac:dyDescent="0.2">
      <c r="G42" s="27"/>
      <c r="H42" s="28"/>
      <c r="L42" s="127" t="s">
        <v>127</v>
      </c>
      <c r="M42" s="127"/>
      <c r="N42" s="127"/>
      <c r="O42" s="29"/>
      <c r="P42" s="26"/>
      <c r="R42" s="25"/>
      <c r="S42" s="25"/>
      <c r="T42" s="25"/>
      <c r="U42" s="25"/>
      <c r="V42" s="25"/>
    </row>
    <row r="43" spans="1:23" ht="25.5" x14ac:dyDescent="0.2">
      <c r="G43" s="27"/>
      <c r="H43" s="28"/>
      <c r="O43" s="29"/>
      <c r="P43" s="26"/>
      <c r="Q43" s="19" t="s">
        <v>76</v>
      </c>
      <c r="R43" s="124" t="s">
        <v>77</v>
      </c>
      <c r="S43" s="125"/>
      <c r="T43" s="125"/>
      <c r="U43" s="125"/>
      <c r="V43" s="126"/>
      <c r="W43" s="21" t="s">
        <v>79</v>
      </c>
    </row>
    <row r="44" spans="1:23" ht="18.75" x14ac:dyDescent="0.2">
      <c r="A44" s="128" t="s">
        <v>121</v>
      </c>
      <c r="B44" s="128"/>
      <c r="C44" s="128"/>
      <c r="G44" s="27"/>
      <c r="H44" s="40" t="s">
        <v>123</v>
      </c>
      <c r="I44" s="4">
        <f>I27+(0.25*I37)</f>
        <v>282.01400000000001</v>
      </c>
      <c r="J44" s="2"/>
      <c r="O44" s="29"/>
      <c r="P44" s="26"/>
      <c r="R44" s="25"/>
      <c r="S44" s="25"/>
      <c r="T44" s="25"/>
      <c r="U44" s="25"/>
      <c r="V44" s="25"/>
    </row>
    <row r="45" spans="1:23" ht="25.5" x14ac:dyDescent="0.2">
      <c r="A45" s="128" t="s">
        <v>122</v>
      </c>
      <c r="B45" s="128"/>
      <c r="C45" s="128"/>
      <c r="G45" s="27"/>
      <c r="H45" s="40" t="s">
        <v>124</v>
      </c>
      <c r="I45" s="4">
        <f>I27-(0.25*I37)</f>
        <v>279.16999999999996</v>
      </c>
      <c r="O45" s="29"/>
      <c r="P45" s="26"/>
      <c r="Q45" s="19" t="s">
        <v>80</v>
      </c>
      <c r="R45" s="124" t="s">
        <v>78</v>
      </c>
      <c r="S45" s="125"/>
      <c r="T45" s="125"/>
      <c r="U45" s="125"/>
      <c r="V45" s="126"/>
      <c r="W45" s="21" t="s">
        <v>79</v>
      </c>
    </row>
    <row r="46" spans="1:23" x14ac:dyDescent="0.2">
      <c r="G46" s="27"/>
      <c r="H46" s="28"/>
      <c r="O46" s="29"/>
      <c r="P46" s="26"/>
      <c r="R46" s="25"/>
      <c r="S46" s="25"/>
      <c r="T46" s="25"/>
      <c r="U46" s="25"/>
      <c r="V46" s="25"/>
    </row>
    <row r="47" spans="1:23" ht="54" x14ac:dyDescent="0.2">
      <c r="G47" s="37"/>
      <c r="H47"/>
      <c r="O47" s="29"/>
      <c r="P47" s="26"/>
      <c r="Q47" s="19" t="s">
        <v>83</v>
      </c>
      <c r="R47" s="124" t="s">
        <v>84</v>
      </c>
      <c r="S47" s="125"/>
      <c r="T47" s="125"/>
      <c r="U47" s="125"/>
      <c r="V47" s="126"/>
      <c r="W47" s="21" t="s">
        <v>85</v>
      </c>
    </row>
    <row r="48" spans="1:23" x14ac:dyDescent="0.2">
      <c r="G48" s="37"/>
      <c r="H48"/>
      <c r="O48" s="29"/>
      <c r="P48" s="26"/>
      <c r="R48" s="25"/>
      <c r="S48" s="25"/>
      <c r="T48" s="25"/>
      <c r="U48" s="25"/>
      <c r="V48" s="25"/>
    </row>
    <row r="49" spans="1:24" ht="18.75" x14ac:dyDescent="0.3">
      <c r="A49" s="128" t="s">
        <v>90</v>
      </c>
      <c r="B49" s="128"/>
      <c r="C49" s="128"/>
      <c r="D49" s="128"/>
      <c r="E49" s="128"/>
      <c r="F49" s="128"/>
      <c r="G49" s="37"/>
      <c r="H49" s="46" t="s">
        <v>135</v>
      </c>
      <c r="I49" s="16">
        <v>1</v>
      </c>
      <c r="J49" s="16">
        <f>(1+(0.1114*M50*N50))</f>
        <v>1.9763600114154705</v>
      </c>
      <c r="M49" s="11" t="s">
        <v>133</v>
      </c>
      <c r="N49" s="11" t="s">
        <v>134</v>
      </c>
      <c r="O49" s="29"/>
      <c r="P49" s="26"/>
      <c r="Q49" s="19" t="s">
        <v>86</v>
      </c>
      <c r="R49" s="124" t="s">
        <v>87</v>
      </c>
      <c r="S49" s="125"/>
      <c r="T49" s="125"/>
      <c r="U49" s="125"/>
      <c r="V49" s="126"/>
      <c r="W49" s="21" t="s">
        <v>89</v>
      </c>
    </row>
    <row r="50" spans="1:24" ht="18.75" x14ac:dyDescent="0.35">
      <c r="G50" s="37"/>
      <c r="H50" s="47" t="s">
        <v>136</v>
      </c>
      <c r="I50" s="4">
        <f>I49/J49</f>
        <v>0.50598068885425351</v>
      </c>
      <c r="J50" s="4"/>
      <c r="M50" s="11">
        <f>I22</f>
        <v>2.7388914144284962</v>
      </c>
      <c r="N50" s="11">
        <f>N13</f>
        <v>3.2</v>
      </c>
      <c r="O50" s="29"/>
      <c r="P50" s="26"/>
      <c r="R50" s="25"/>
      <c r="S50" s="25"/>
      <c r="T50" s="25"/>
      <c r="U50" s="25"/>
      <c r="V50" s="25"/>
    </row>
    <row r="51" spans="1:24" ht="25.5" x14ac:dyDescent="0.2">
      <c r="G51" s="37"/>
      <c r="H51"/>
      <c r="O51" s="29"/>
      <c r="P51" s="26"/>
      <c r="Q51" s="19" t="s">
        <v>23</v>
      </c>
      <c r="R51" s="124" t="s">
        <v>91</v>
      </c>
      <c r="S51" s="125"/>
      <c r="T51" s="125"/>
      <c r="U51" s="125"/>
      <c r="V51" s="126"/>
      <c r="W51" s="21" t="s">
        <v>93</v>
      </c>
    </row>
    <row r="52" spans="1:24" ht="15.75" thickBot="1" x14ac:dyDescent="0.25">
      <c r="A52" s="30"/>
      <c r="B52" s="30"/>
      <c r="C52" s="30"/>
      <c r="D52" s="30"/>
      <c r="E52" s="30"/>
      <c r="F52" s="30"/>
      <c r="G52" s="38"/>
      <c r="H52" s="31"/>
      <c r="I52" s="30"/>
      <c r="J52" s="30"/>
      <c r="K52" s="30"/>
      <c r="L52" s="30"/>
      <c r="M52" s="30"/>
      <c r="N52" s="30"/>
      <c r="O52" s="32"/>
      <c r="P52" s="33"/>
      <c r="Q52" s="34"/>
      <c r="R52" s="35"/>
      <c r="S52" s="35"/>
      <c r="T52" s="35"/>
      <c r="U52" s="35"/>
      <c r="V52" s="35"/>
      <c r="W52" s="36"/>
      <c r="X52"/>
    </row>
    <row r="53" spans="1:24" ht="15.75" thickTop="1" x14ac:dyDescent="0.2">
      <c r="G53"/>
      <c r="H53"/>
    </row>
    <row r="54" spans="1:24" x14ac:dyDescent="0.2">
      <c r="G54"/>
      <c r="H54"/>
    </row>
    <row r="55" spans="1:24" x14ac:dyDescent="0.2">
      <c r="G55"/>
      <c r="H55"/>
    </row>
    <row r="56" spans="1:24" x14ac:dyDescent="0.2">
      <c r="G56"/>
      <c r="H56"/>
    </row>
    <row r="57" spans="1:24" x14ac:dyDescent="0.2">
      <c r="G57"/>
      <c r="H57"/>
    </row>
    <row r="58" spans="1:24" x14ac:dyDescent="0.2">
      <c r="G58"/>
      <c r="H58"/>
    </row>
    <row r="59" spans="1:24" x14ac:dyDescent="0.2">
      <c r="G59"/>
      <c r="H59"/>
    </row>
    <row r="60" spans="1:24" x14ac:dyDescent="0.2">
      <c r="G60"/>
      <c r="H60"/>
    </row>
    <row r="61" spans="1:24" x14ac:dyDescent="0.2">
      <c r="G61"/>
      <c r="H61"/>
    </row>
    <row r="62" spans="1:24" x14ac:dyDescent="0.2">
      <c r="G62"/>
      <c r="H62"/>
    </row>
    <row r="63" spans="1:24" x14ac:dyDescent="0.2">
      <c r="G63"/>
      <c r="H63"/>
    </row>
    <row r="64" spans="1:24" x14ac:dyDescent="0.2">
      <c r="G64"/>
      <c r="H64"/>
    </row>
    <row r="65" spans="7:8" x14ac:dyDescent="0.2">
      <c r="G65"/>
      <c r="H65"/>
    </row>
    <row r="66" spans="7:8" x14ac:dyDescent="0.2">
      <c r="G66"/>
      <c r="H66"/>
    </row>
    <row r="67" spans="7:8" x14ac:dyDescent="0.2">
      <c r="G67"/>
      <c r="H67"/>
    </row>
    <row r="68" spans="7:8" x14ac:dyDescent="0.2">
      <c r="G68"/>
      <c r="H68"/>
    </row>
    <row r="69" spans="7:8" x14ac:dyDescent="0.2">
      <c r="G69"/>
      <c r="H69"/>
    </row>
    <row r="70" spans="7:8" x14ac:dyDescent="0.2">
      <c r="G70"/>
      <c r="H70"/>
    </row>
    <row r="71" spans="7:8" x14ac:dyDescent="0.2">
      <c r="G71"/>
      <c r="H71"/>
    </row>
    <row r="72" spans="7:8" x14ac:dyDescent="0.2">
      <c r="G72"/>
      <c r="H72"/>
    </row>
    <row r="73" spans="7:8" x14ac:dyDescent="0.2">
      <c r="G73"/>
      <c r="H73"/>
    </row>
    <row r="74" spans="7:8" x14ac:dyDescent="0.2">
      <c r="G74"/>
      <c r="H74"/>
    </row>
    <row r="75" spans="7:8" x14ac:dyDescent="0.2">
      <c r="G75"/>
      <c r="H75"/>
    </row>
    <row r="76" spans="7:8" x14ac:dyDescent="0.2">
      <c r="G76"/>
      <c r="H76"/>
    </row>
    <row r="77" spans="7:8" x14ac:dyDescent="0.2">
      <c r="G77"/>
      <c r="H77"/>
    </row>
    <row r="78" spans="7:8" x14ac:dyDescent="0.2">
      <c r="G78"/>
      <c r="H78"/>
    </row>
    <row r="79" spans="7:8" x14ac:dyDescent="0.2">
      <c r="G79"/>
      <c r="H79"/>
    </row>
    <row r="80" spans="7:8" x14ac:dyDescent="0.2">
      <c r="G80"/>
      <c r="H80"/>
    </row>
    <row r="81" spans="7:8" x14ac:dyDescent="0.2">
      <c r="G81"/>
      <c r="H81"/>
    </row>
    <row r="82" spans="7:8" x14ac:dyDescent="0.2">
      <c r="G82"/>
      <c r="H82"/>
    </row>
    <row r="83" spans="7:8" x14ac:dyDescent="0.2">
      <c r="G83"/>
      <c r="H83"/>
    </row>
    <row r="84" spans="7:8" x14ac:dyDescent="0.2">
      <c r="G84"/>
      <c r="H84"/>
    </row>
    <row r="85" spans="7:8" x14ac:dyDescent="0.2">
      <c r="G85"/>
      <c r="H85"/>
    </row>
    <row r="86" spans="7:8" x14ac:dyDescent="0.2">
      <c r="G86"/>
      <c r="H86"/>
    </row>
    <row r="87" spans="7:8" x14ac:dyDescent="0.2">
      <c r="G87"/>
      <c r="H87"/>
    </row>
    <row r="88" spans="7:8" x14ac:dyDescent="0.2">
      <c r="G88"/>
      <c r="H88"/>
    </row>
    <row r="89" spans="7:8" x14ac:dyDescent="0.2">
      <c r="G89"/>
      <c r="H89"/>
    </row>
    <row r="90" spans="7:8" x14ac:dyDescent="0.2">
      <c r="G90"/>
      <c r="H90"/>
    </row>
    <row r="91" spans="7:8" x14ac:dyDescent="0.2">
      <c r="G91"/>
      <c r="H91"/>
    </row>
    <row r="92" spans="7:8" x14ac:dyDescent="0.2">
      <c r="G92"/>
      <c r="H92"/>
    </row>
    <row r="93" spans="7:8" x14ac:dyDescent="0.2">
      <c r="G93"/>
      <c r="H93"/>
    </row>
    <row r="94" spans="7:8" x14ac:dyDescent="0.2">
      <c r="G94"/>
      <c r="H94"/>
    </row>
    <row r="95" spans="7:8" x14ac:dyDescent="0.2">
      <c r="G95"/>
      <c r="H95"/>
    </row>
    <row r="96" spans="7:8" x14ac:dyDescent="0.2">
      <c r="G96"/>
      <c r="H96"/>
    </row>
    <row r="97" spans="7:8" x14ac:dyDescent="0.2">
      <c r="G97"/>
      <c r="H97"/>
    </row>
    <row r="98" spans="7:8" x14ac:dyDescent="0.2">
      <c r="G98"/>
      <c r="H98"/>
    </row>
    <row r="99" spans="7:8" x14ac:dyDescent="0.2">
      <c r="G99"/>
      <c r="H99"/>
    </row>
    <row r="100" spans="7:8" x14ac:dyDescent="0.2">
      <c r="G100"/>
      <c r="H100"/>
    </row>
    <row r="101" spans="7:8" x14ac:dyDescent="0.2">
      <c r="G101"/>
      <c r="H101"/>
    </row>
    <row r="102" spans="7:8" x14ac:dyDescent="0.2">
      <c r="G102"/>
      <c r="H102"/>
    </row>
    <row r="103" spans="7:8" x14ac:dyDescent="0.2">
      <c r="G103"/>
      <c r="H103"/>
    </row>
    <row r="104" spans="7:8" x14ac:dyDescent="0.2">
      <c r="G104"/>
      <c r="H104"/>
    </row>
    <row r="105" spans="7:8" x14ac:dyDescent="0.2">
      <c r="G105"/>
      <c r="H105"/>
    </row>
    <row r="106" spans="7:8" x14ac:dyDescent="0.2">
      <c r="G106"/>
      <c r="H106"/>
    </row>
    <row r="107" spans="7:8" x14ac:dyDescent="0.2">
      <c r="G107"/>
      <c r="H107"/>
    </row>
    <row r="108" spans="7:8" x14ac:dyDescent="0.2">
      <c r="G108"/>
      <c r="H108"/>
    </row>
    <row r="109" spans="7:8" x14ac:dyDescent="0.2">
      <c r="G109"/>
      <c r="H109"/>
    </row>
    <row r="110" spans="7:8" x14ac:dyDescent="0.2">
      <c r="G110"/>
      <c r="H110"/>
    </row>
    <row r="111" spans="7:8" x14ac:dyDescent="0.2">
      <c r="G111"/>
      <c r="H111"/>
    </row>
    <row r="112" spans="7:8" x14ac:dyDescent="0.2">
      <c r="G112"/>
      <c r="H112"/>
    </row>
    <row r="113" spans="7:8" x14ac:dyDescent="0.2">
      <c r="G113"/>
      <c r="H113"/>
    </row>
    <row r="114" spans="7:8" x14ac:dyDescent="0.2">
      <c r="G114"/>
      <c r="H114"/>
    </row>
    <row r="115" spans="7:8" x14ac:dyDescent="0.2">
      <c r="G115"/>
      <c r="H115"/>
    </row>
    <row r="116" spans="7:8" x14ac:dyDescent="0.2">
      <c r="G116"/>
      <c r="H116"/>
    </row>
    <row r="117" spans="7:8" x14ac:dyDescent="0.2">
      <c r="G117"/>
      <c r="H117"/>
    </row>
    <row r="118" spans="7:8" x14ac:dyDescent="0.2">
      <c r="G118"/>
      <c r="H118"/>
    </row>
    <row r="119" spans="7:8" x14ac:dyDescent="0.2">
      <c r="G119"/>
      <c r="H119"/>
    </row>
    <row r="120" spans="7:8" x14ac:dyDescent="0.2">
      <c r="G120"/>
      <c r="H120"/>
    </row>
    <row r="121" spans="7:8" x14ac:dyDescent="0.2">
      <c r="G121"/>
      <c r="H121"/>
    </row>
    <row r="122" spans="7:8" x14ac:dyDescent="0.2">
      <c r="G122"/>
      <c r="H122"/>
    </row>
    <row r="123" spans="7:8" x14ac:dyDescent="0.2">
      <c r="G123"/>
      <c r="H123"/>
    </row>
    <row r="124" spans="7:8" x14ac:dyDescent="0.2">
      <c r="G124"/>
      <c r="H124"/>
    </row>
    <row r="125" spans="7:8" x14ac:dyDescent="0.2">
      <c r="G125"/>
      <c r="H125"/>
    </row>
    <row r="126" spans="7:8" x14ac:dyDescent="0.2">
      <c r="G126"/>
      <c r="H126"/>
    </row>
    <row r="127" spans="7:8" x14ac:dyDescent="0.2">
      <c r="G127"/>
      <c r="H127"/>
    </row>
    <row r="128" spans="7:8" x14ac:dyDescent="0.2">
      <c r="G128"/>
      <c r="H128"/>
    </row>
    <row r="129" spans="7:8" x14ac:dyDescent="0.2">
      <c r="G129"/>
      <c r="H129"/>
    </row>
    <row r="130" spans="7:8" x14ac:dyDescent="0.2">
      <c r="G130"/>
      <c r="H130"/>
    </row>
    <row r="131" spans="7:8" x14ac:dyDescent="0.2">
      <c r="G131"/>
      <c r="H131"/>
    </row>
    <row r="132" spans="7:8" x14ac:dyDescent="0.2">
      <c r="G132"/>
      <c r="H132"/>
    </row>
    <row r="133" spans="7:8" x14ac:dyDescent="0.2">
      <c r="G133"/>
      <c r="H133"/>
    </row>
    <row r="134" spans="7:8" x14ac:dyDescent="0.2">
      <c r="G134"/>
      <c r="H134"/>
    </row>
    <row r="135" spans="7:8" x14ac:dyDescent="0.2">
      <c r="G135"/>
      <c r="H135"/>
    </row>
    <row r="136" spans="7:8" x14ac:dyDescent="0.2">
      <c r="G136"/>
      <c r="H136"/>
    </row>
  </sheetData>
  <mergeCells count="45">
    <mergeCell ref="C5:E5"/>
    <mergeCell ref="A1:C2"/>
    <mergeCell ref="E1:G2"/>
    <mergeCell ref="Q1:W2"/>
    <mergeCell ref="C4:E4"/>
    <mergeCell ref="R4:T4"/>
    <mergeCell ref="R6:V6"/>
    <mergeCell ref="A7:G7"/>
    <mergeCell ref="H7:N7"/>
    <mergeCell ref="A8:F8"/>
    <mergeCell ref="A12:E12"/>
    <mergeCell ref="Q12:Q13"/>
    <mergeCell ref="R12:V13"/>
    <mergeCell ref="R27:V27"/>
    <mergeCell ref="W12:W13"/>
    <mergeCell ref="L14:N14"/>
    <mergeCell ref="R15:V15"/>
    <mergeCell ref="A16:F16"/>
    <mergeCell ref="R17:V17"/>
    <mergeCell ref="R19:V19"/>
    <mergeCell ref="A20:F20"/>
    <mergeCell ref="R21:V21"/>
    <mergeCell ref="L22:N22"/>
    <mergeCell ref="A24:F24"/>
    <mergeCell ref="R25:V25"/>
    <mergeCell ref="L42:N42"/>
    <mergeCell ref="A28:F28"/>
    <mergeCell ref="R29:V29"/>
    <mergeCell ref="R31:V31"/>
    <mergeCell ref="A32:F32"/>
    <mergeCell ref="R33:V33"/>
    <mergeCell ref="R35:V35"/>
    <mergeCell ref="A36:E36"/>
    <mergeCell ref="R37:V37"/>
    <mergeCell ref="R39:V39"/>
    <mergeCell ref="A40:G40"/>
    <mergeCell ref="R41:V41"/>
    <mergeCell ref="R51:V51"/>
    <mergeCell ref="R43:V43"/>
    <mergeCell ref="A44:C44"/>
    <mergeCell ref="A45:C45"/>
    <mergeCell ref="R45:V45"/>
    <mergeCell ref="R47:V47"/>
    <mergeCell ref="A49:F49"/>
    <mergeCell ref="R49:V49"/>
  </mergeCells>
  <conditionalFormatting sqref="M13">
    <cfRule type="cellIs" dxfId="71" priority="12" operator="notBetween">
      <formula>0</formula>
      <formula>100</formula>
    </cfRule>
  </conditionalFormatting>
  <conditionalFormatting sqref="N13">
    <cfRule type="cellIs" dxfId="70" priority="11" operator="notBetween">
      <formula>0</formula>
      <formula>100</formula>
    </cfRule>
  </conditionalFormatting>
  <conditionalFormatting sqref="N16">
    <cfRule type="cellIs" dxfId="69" priority="10" operator="notBetween">
      <formula>0</formula>
      <formula>1000</formula>
    </cfRule>
  </conditionalFormatting>
  <conditionalFormatting sqref="L21">
    <cfRule type="cellIs" dxfId="68" priority="9" operator="notBetween">
      <formula>0.1</formula>
      <formula>10</formula>
    </cfRule>
  </conditionalFormatting>
  <conditionalFormatting sqref="M21">
    <cfRule type="cellIs" dxfId="67" priority="8" operator="notBetween">
      <formula>500</formula>
      <formula>3000</formula>
    </cfRule>
  </conditionalFormatting>
  <conditionalFormatting sqref="N21">
    <cfRule type="cellIs" dxfId="66" priority="7" operator="notBetween">
      <formula>100</formula>
      <formula>300</formula>
    </cfRule>
  </conditionalFormatting>
  <conditionalFormatting sqref="M25">
    <cfRule type="cellIs" dxfId="65" priority="6" operator="notBetween">
      <formula>0</formula>
      <formula>1</formula>
    </cfRule>
  </conditionalFormatting>
  <conditionalFormatting sqref="N25">
    <cfRule type="cellIs" dxfId="64" priority="5" operator="notBetween">
      <formula>0</formula>
      <formula>1500</formula>
    </cfRule>
  </conditionalFormatting>
  <conditionalFormatting sqref="M29">
    <cfRule type="cellIs" dxfId="63" priority="4" operator="notBetween">
      <formula>263</formula>
      <formula>303</formula>
    </cfRule>
  </conditionalFormatting>
  <conditionalFormatting sqref="N37">
    <cfRule type="cellIs" dxfId="62" priority="3" operator="notBetween">
      <formula>0</formula>
      <formula>30</formula>
    </cfRule>
  </conditionalFormatting>
  <conditionalFormatting sqref="M13:N13 N16 L21:N21 M25:N25 M29 N37">
    <cfRule type="containsText" dxfId="61" priority="2" operator="containsText" text="x">
      <formula>NOT(ISERROR(SEARCH("x",L13)))</formula>
    </cfRule>
  </conditionalFormatting>
  <conditionalFormatting sqref="A5">
    <cfRule type="containsText" dxfId="60" priority="1" operator="containsText" text="x">
      <formula>NOT(ISERROR(SEARCH("x",A5)))</formula>
    </cfRule>
  </conditionalFormatting>
  <printOptions gridLines="1"/>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Executive Summary</vt:lpstr>
      <vt:lpstr>I1 Bought-In Solvent</vt:lpstr>
      <vt:lpstr>O1.1&amp;1.3 Powered Vents &amp; GE</vt:lpstr>
      <vt:lpstr>O1.2 Conservation Vents</vt:lpstr>
      <vt:lpstr>O1.4 Breathing Losses</vt:lpstr>
      <vt:lpstr>O6.1&amp;6.2 Slvnt-Containing Waste</vt:lpstr>
      <vt:lpstr>Tanks 1-5 Calculations</vt:lpstr>
      <vt:lpstr>Tanks 6-7 Calculations</vt:lpstr>
      <vt:lpstr>Tanks ST1-ST2 Calculations</vt:lpstr>
      <vt:lpstr>ST3 Calculations</vt:lpstr>
      <vt:lpstr>ST4 Calculations</vt:lpstr>
      <vt:lpstr>ST5 Calculations</vt:lpstr>
      <vt:lpstr>MP5 Calculations</vt:lpstr>
      <vt:lpstr>TEMPLATE - O1.4 Breathing losse</vt:lpstr>
      <vt:lpstr>A5.1 Solvent Data</vt:lpstr>
      <vt:lpstr>A5.2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2018-02-08T12:05:25Z</cp:lastPrinted>
  <dcterms:created xsi:type="dcterms:W3CDTF">2018-02-06T10:29:37Z</dcterms:created>
  <dcterms:modified xsi:type="dcterms:W3CDTF">2018-02-22T12:29:37Z</dcterms:modified>
</cp:coreProperties>
</file>